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12.xml" ContentType="application/vnd.openxmlformats-officedocument.drawing+xml"/>
  <Override PartName="/xl/worksheets/sheet15.xml" ContentType="application/vnd.openxmlformats-officedocument.spreadsheetml.worksheet+xml"/>
  <Override PartName="/xl/drawings/drawing13.xml" ContentType="application/vnd.openxmlformats-officedocument.drawing+xml"/>
  <Override PartName="/xl/worksheets/sheet16.xml" ContentType="application/vnd.openxmlformats-officedocument.spreadsheetml.worksheet+xml"/>
  <Override PartName="/xl/drawings/drawing14.xml" ContentType="application/vnd.openxmlformats-officedocument.drawing+xml"/>
  <Override PartName="/xl/worksheets/sheet17.xml" ContentType="application/vnd.openxmlformats-officedocument.spreadsheetml.worksheet+xml"/>
  <Override PartName="/xl/drawings/drawing15.xml" ContentType="application/vnd.openxmlformats-officedocument.drawing+xml"/>
  <Override PartName="/xl/worksheets/sheet18.xml" ContentType="application/vnd.openxmlformats-officedocument.spreadsheetml.worksheet+xml"/>
  <Override PartName="/xl/drawings/drawing16.xml" ContentType="application/vnd.openxmlformats-officedocument.drawing+xml"/>
  <Override PartName="/xl/worksheets/sheet19.xml" ContentType="application/vnd.openxmlformats-officedocument.spreadsheetml.worksheet+xml"/>
  <Override PartName="/xl/drawings/drawing17.xml" ContentType="application/vnd.openxmlformats-officedocument.drawing+xml"/>
  <Override PartName="/xl/worksheets/sheet20.xml" ContentType="application/vnd.openxmlformats-officedocument.spreadsheetml.worksheet+xml"/>
  <Override PartName="/xl/drawings/drawing18.xml" ContentType="application/vnd.openxmlformats-officedocument.drawing+xml"/>
  <Override PartName="/xl/worksheets/sheet21.xml" ContentType="application/vnd.openxmlformats-officedocument.spreadsheetml.worksheet+xml"/>
  <Override PartName="/xl/drawings/drawing1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8340" tabRatio="967" firstSheet="10" activeTab="19"/>
  </bookViews>
  <sheets>
    <sheet name="xdvb-1-M " sheetId="1" r:id="rId1"/>
    <sheet name="tdvb-2-M " sheetId="2" r:id="rId2"/>
    <sheet name="KtraVB-3-V" sheetId="3" r:id="rId3"/>
    <sheet name="KSTTHC-4-Th" sheetId="4" r:id="rId4"/>
    <sheet name="KSTTHC-5-Th" sheetId="5" r:id="rId5"/>
    <sheet name="KSTTHC-6-Th" sheetId="6" r:id="rId6"/>
    <sheet name="PBGDPL-7-H " sheetId="7" r:id="rId7"/>
    <sheet name="Hoagiai-8-H " sheetId="8" r:id="rId8"/>
    <sheet name="K.sinh, K.tu-9-M " sheetId="9" r:id="rId9"/>
    <sheet name="K.hon, con nuoi-10-M" sheetId="10" r:id="rId10"/>
    <sheet name="Chung thuc-11-M" sheetId="11" r:id="rId11"/>
    <sheet name="LLTP-12-Y" sheetId="12" r:id="rId12"/>
    <sheet name="LLTP-13-Y" sheetId="13" r:id="rId13"/>
    <sheet name="TGPL-14-Th" sheetId="14" r:id="rId14"/>
    <sheet name="BTNN-15-Y" sheetId="15" r:id="rId15"/>
    <sheet name="ĐKGDBĐ-16-Y" sheetId="16" r:id="rId16"/>
    <sheet name="ĐKGDBĐ-17-Y" sheetId="17" r:id="rId17"/>
    <sheet name="Luat su-18-V" sheetId="18" r:id="rId18"/>
    <sheet name="Cong chung-19-V" sheetId="19" r:id="rId19"/>
    <sheet name="Ban dau gia-20-V" sheetId="20" r:id="rId20"/>
    <sheet name="Uythac-21-H" sheetId="21" r:id="rId21"/>
  </sheets>
  <externalReferences>
    <externalReference r:id="rId24"/>
    <externalReference r:id="rId25"/>
  </externalReferences>
  <definedNames>
    <definedName name="_xlnm.Print_Titles" localSheetId="19">'Ban dau gia-20-V'!$6:$10</definedName>
    <definedName name="_xlnm.Print_Titles" localSheetId="14">'BTNN-15-Y'!$7:$12</definedName>
    <definedName name="_xlnm.Print_Titles" localSheetId="10">'Chung thuc-11-M'!$6:$10</definedName>
    <definedName name="_xlnm.Print_Titles" localSheetId="18">'Cong chung-19-V'!$6:$10</definedName>
    <definedName name="_xlnm.Print_Titles" localSheetId="15">'ĐKGDBĐ-16-Y'!$7:$11</definedName>
    <definedName name="_xlnm.Print_Titles" localSheetId="16">'ĐKGDBĐ-17-Y'!$7:$10</definedName>
    <definedName name="_xlnm.Print_Titles" localSheetId="7">'Hoagiai-8-H '!$8:$11</definedName>
    <definedName name="_xlnm.Print_Titles" localSheetId="9">'K.hon, con nuoi-10-M'!$6:$11</definedName>
    <definedName name="_xlnm.Print_Titles" localSheetId="8">'K.sinh, K.tu-9-M '!$6:$10</definedName>
    <definedName name="_xlnm.Print_Titles" localSheetId="3">'KSTTHC-4-Th'!$7:$13</definedName>
    <definedName name="_xlnm.Print_Titles" localSheetId="4">'KSTTHC-5-Th'!$7:$11</definedName>
    <definedName name="_xlnm.Print_Titles" localSheetId="5">'KSTTHC-6-Th'!$7:$14</definedName>
    <definedName name="_xlnm.Print_Titles" localSheetId="2">'KtraVB-3-V'!$7:$13</definedName>
    <definedName name="_xlnm.Print_Titles" localSheetId="11">'LLTP-12-Y'!$7:$11</definedName>
    <definedName name="_xlnm.Print_Titles" localSheetId="12">'LLTP-13-Y'!$7:$12</definedName>
    <definedName name="_xlnm.Print_Titles" localSheetId="6">'PBGDPL-7-H '!$6:$11</definedName>
    <definedName name="_xlnm.Print_Titles" localSheetId="1">'tdvb-2-M '!$6:$10</definedName>
    <definedName name="_xlnm.Print_Titles" localSheetId="13">'TGPL-14-Th'!$6:$12</definedName>
    <definedName name="_xlnm.Print_Titles" localSheetId="0">'xdvb-1-M '!$6:$12</definedName>
  </definedNames>
  <calcPr fullCalcOnLoad="1"/>
</workbook>
</file>

<file path=xl/comments4.xml><?xml version="1.0" encoding="utf-8"?>
<comments xmlns="http://schemas.openxmlformats.org/spreadsheetml/2006/main">
  <authors>
    <author>User</author>
  </authors>
  <commentList>
    <comment ref="T100" authorId="0">
      <text>
        <r>
          <rPr>
            <b/>
            <sz val="9"/>
            <rFont val="Tahoma"/>
            <family val="2"/>
          </rPr>
          <t>User:</t>
        </r>
        <r>
          <rPr>
            <sz val="9"/>
            <rFont val="Tahoma"/>
            <family val="2"/>
          </rPr>
          <t xml:space="preserve">
trong đó có 01 Nghị quyết</t>
        </r>
      </text>
    </comment>
  </commentList>
</comments>
</file>

<file path=xl/sharedStrings.xml><?xml version="1.0" encoding="utf-8"?>
<sst xmlns="http://schemas.openxmlformats.org/spreadsheetml/2006/main" count="4550" uniqueCount="654">
  <si>
    <t xml:space="preserve">Tổng số tiền cơ quan nhà nước có trách nhiệm bồi thường trong văn bản giải quyết bồi thường có hiệu lực và trong bản án, quyết định của Tòa án có tuyên bồi thường (Số thực hiện 4 tháng trong kỳ báo cáo) 
(Nghìn đồng)
= Cột (7+12) </t>
  </si>
  <si>
    <t xml:space="preserve">Tổng số tiền đã chi trả cho người bị thiệt hại theo quyết định của cơ quan hành chính và theo bản án, quyết định của Tòa án có tuyên bồi thường (Số thực hiện 4 tháng trong kỳ báo cáo)
(Nghìn đồng)
= Cột (10+18)   </t>
  </si>
  <si>
    <t xml:space="preserve">Tổng số ước tính 6 tháng đối với số tiền chi trả cho người bị thiệt hại theo quyết định của cơ quan hành chính và theo bản án, quyết định của Tòa án có tuyên bồi thường
(Nghìn đồng)
= Cột (8+16)   </t>
  </si>
  <si>
    <t xml:space="preserve">Số tổng và số chi tiết không khớp, số của đơn vị là 325; </t>
  </si>
  <si>
    <t>Tổng số chưa đủ, thiếu bc của 2 huyện</t>
  </si>
  <si>
    <t xml:space="preserve"> Số lượt người dự cuộc PBGDPL trong 4 tháng là 208 ngàn lượt trong khi số 6 tháng cùng kỳ 2013 là 86 ngàn lượt</t>
  </si>
  <si>
    <t>Số tổng và số chi tiết không khớp, số của đvi là 332.292</t>
  </si>
  <si>
    <t>Số tổng không khớp số chi tiết, số của đvị cột 5 là 7.805; Sở ban ngành… để trống số liệu</t>
  </si>
  <si>
    <t>Số chi tiết và số tổng không khớp nên sai số tổng, số cột 5 của đvi là 287.767</t>
  </si>
  <si>
    <t>Tính tổng thiếu dòng tổng Sở ban ngành, số cột 5 của đvi là 399.118</t>
  </si>
  <si>
    <t>Để trống số liệu Sở ban ngành</t>
  </si>
  <si>
    <t>không có số liệu Sở ban ngành…</t>
  </si>
  <si>
    <t>Tính tổng sai, số cột 5 của đvi 147.149</t>
  </si>
  <si>
    <t>Số cuộc PBGDPL gấp 17, 18 lần số cùng kỳ 2013, 2012</t>
  </si>
  <si>
    <t>Số ước tính không hợp lý</t>
  </si>
  <si>
    <t>Số cuộc PBGDPL gấp 6, 7 lần số cùng kỳ 2012, 2013</t>
  </si>
  <si>
    <t>Số cuộc PBGDPL tăng giảm thất thường, gấp 24 lần số cùng kỳ 2013, gần tương đương số năm 2012</t>
  </si>
  <si>
    <t>ít số liệu Sở ban ngành</t>
  </si>
  <si>
    <r>
      <t xml:space="preserve">Tổng số đấu giá viên: theo quản lý của Bộ Tư pháp tính đến 30/6/2014 có </t>
    </r>
    <r>
      <rPr>
        <b/>
        <i/>
        <sz val="10"/>
        <rFont val="Arial"/>
        <family val="2"/>
      </rPr>
      <t>1.164</t>
    </r>
    <r>
      <rPr>
        <sz val="10"/>
        <rFont val="Arial"/>
        <family val="2"/>
      </rPr>
      <t xml:space="preserve"> </t>
    </r>
    <r>
      <rPr>
        <i/>
        <sz val="10"/>
        <rFont val="Arial"/>
        <family val="2"/>
      </rPr>
      <t>đấu giá viên đang hành nghề và đã được cấp thẻ</t>
    </r>
  </si>
  <si>
    <t>một số cấp huyện có số chi tiết lớn như h. Hóc Môn</t>
  </si>
  <si>
    <t xml:space="preserve"> </t>
  </si>
  <si>
    <r>
      <t xml:space="preserve">Số tài liệu PBGDPL được phát hành miễn phí
</t>
    </r>
    <r>
      <rPr>
        <b/>
        <i/>
        <sz val="12"/>
        <rFont val="Times New Roman"/>
        <family val="1"/>
      </rPr>
      <t>(Bản)</t>
    </r>
  </si>
  <si>
    <r>
      <t xml:space="preserve">Số lần phát sóng chương trình PBGDPL trên đài truyền thanh xã
</t>
    </r>
    <r>
      <rPr>
        <b/>
        <i/>
        <sz val="12"/>
        <rFont val="Times New Roman"/>
        <family val="1"/>
      </rPr>
      <t>(lần)</t>
    </r>
  </si>
  <si>
    <r>
      <t xml:space="preserve">Số lượng tin bài về pháp luật được đăng tải, phát trên phương tiện thông tin đại chúng
</t>
    </r>
    <r>
      <rPr>
        <b/>
        <i/>
        <sz val="12"/>
        <rFont val="Times New Roman"/>
        <family val="1"/>
      </rPr>
      <t>(tin, bài)</t>
    </r>
  </si>
  <si>
    <r>
      <t xml:space="preserve">Số cuộc PBPL TT
</t>
    </r>
    <r>
      <rPr>
        <i/>
        <sz val="12"/>
        <rFont val="Times New Roman"/>
        <family val="1"/>
      </rPr>
      <t>(Cuộc)</t>
    </r>
  </si>
  <si>
    <r>
      <t xml:space="preserve">Số lượt người tham dự
(số thực hiện 4 tháng trong kỳ báo cáo) </t>
    </r>
    <r>
      <rPr>
        <i/>
        <sz val="12"/>
        <rFont val="Times New Roman"/>
        <family val="1"/>
      </rPr>
      <t>(Lượt người)</t>
    </r>
  </si>
  <si>
    <r>
      <t xml:space="preserve">Số cuộc thi
</t>
    </r>
    <r>
      <rPr>
        <i/>
        <sz val="12"/>
        <rFont val="Times New Roman"/>
        <family val="1"/>
      </rPr>
      <t>(Cuộc)</t>
    </r>
  </si>
  <si>
    <r>
      <t xml:space="preserve">Số lượt người dự thi (số thực hiện 4 tháng trong kỳ báo cáo)
</t>
    </r>
    <r>
      <rPr>
        <i/>
        <sz val="12"/>
        <rFont val="Times New Roman"/>
        <family val="1"/>
      </rPr>
      <t>(Lượt người)</t>
    </r>
    <r>
      <rPr>
        <sz val="12"/>
        <rFont val="Times New Roman"/>
        <family val="1"/>
      </rPr>
      <t xml:space="preserve">
</t>
    </r>
  </si>
  <si>
    <t>Biểu mẫu số 8</t>
  </si>
  <si>
    <t xml:space="preserve">TỔNG HỢP SỐ LIỆU THỐNG KÊ VỀ KẾT QUẢ HÒA GIẢI Ở CƠ SỞ </t>
  </si>
  <si>
    <t>Đơn vị tính: vụ việc</t>
  </si>
  <si>
    <t>STT</t>
  </si>
  <si>
    <t>Số vụ việc hòa giải thành</t>
  </si>
  <si>
    <t>Số vụ việc hòa giải không thành (Số thực hiện 4 tháng trong kỳ báo)</t>
  </si>
  <si>
    <t>Số vụ việc chưa giải quyết (Số thực hiện 4 tháng trong kỳ báo)</t>
  </si>
  <si>
    <t>Số vụ việc đang giải quyết (Số thực hiện 4 tháng trong kỳ báo)</t>
  </si>
  <si>
    <t>Tổng số  ước tính 6 tháng</t>
  </si>
  <si>
    <t xml:space="preserve">Tổng các địa phương </t>
  </si>
  <si>
    <t>Số tổng không khớp số chi tiết, số của đvi cột 6 là 361, cột 1 là 1227</t>
  </si>
  <si>
    <t>Số tổng và số chi tiết không khớp; đơn vị không ước tính; Số vụ hòa giải thành gấp hơn 2 lần số cùng kỳ năm 2012, 2013</t>
  </si>
  <si>
    <t>Số tổng không khớp số chi tiết, số của đvi cột 1 là 1624</t>
  </si>
  <si>
    <t>Số tổng không khớp số chi tiết, số của đvi cột 1 là 654</t>
  </si>
  <si>
    <t>Số tổng không khớp số chi tiết, số của đvi: cột 1 là 585</t>
  </si>
  <si>
    <t>Số tổng và số chi tiết không khớp, số của đơn vị cột 1 là 1451, cột 6 là 172</t>
  </si>
  <si>
    <t>đơn vị không ước tính; số vụ hòa giải thành gấp 2 lần số cùng kỳ 2013</t>
  </si>
  <si>
    <t>đơn vị không ước tính</t>
  </si>
  <si>
    <t>Số tổng và số chi tiết không khớp, số của đơn vị cột 1 là 4517, cột 6 là 782</t>
  </si>
  <si>
    <t>03 đơn vị cấp huyện không báo cáo hoặc báo không đủ số liệu</t>
  </si>
  <si>
    <t>chỉ báo cáo số 4 huyện, đơn vị không ước tính</t>
  </si>
  <si>
    <t xml:space="preserve">  </t>
  </si>
  <si>
    <t>Biểu mẫu số 21</t>
  </si>
  <si>
    <t>TỔNG HỢP SỐ LIỆU THỐNG KÊ VỀ KẾT QUẢ ỦY THÁC TƯ PHÁP</t>
  </si>
  <si>
    <t>Đơn vị tính: Lượt yêu cầu</t>
  </si>
  <si>
    <t>Hoạt động thực hiện ủy thác tư pháp về dân sự của Bộ Tư pháp</t>
  </si>
  <si>
    <t>Chia theo cơ sở  ký kết hiệp định Tương trợ tư pháp với Việt Nam</t>
  </si>
  <si>
    <t>Trên cơ sở Hiệp định Tương trợ tư pháp với Việt Nam</t>
  </si>
  <si>
    <t>Không trên cơ sở Hiệp định tương trợ tư pháp với Việt Nam</t>
  </si>
  <si>
    <t>Có kết quả</t>
  </si>
  <si>
    <t>Chưa có kết quả</t>
  </si>
  <si>
    <t>Ủy thác tư pháp Việt Nam gửi ra nước ngoài</t>
  </si>
  <si>
    <t>Ủy thác tư pháp nước ngoài đến Việt Nam</t>
  </si>
  <si>
    <t>Biểu mẫu số 3</t>
  </si>
  <si>
    <t xml:space="preserve">TỔNG HỢP SỐ LIỆU THỐNG KÊ VỀ KẾT QUẢ KIỂM TRA VĂN BẢN QUY PHẠM PHÁP LUẬT </t>
  </si>
  <si>
    <t xml:space="preserve">Số văn bản (VB) đã tự kiểm tra, xử lý </t>
  </si>
  <si>
    <t xml:space="preserve">Số văn bản (VB) đã được kiểm tra, xử lý theo thẩm quyền </t>
  </si>
  <si>
    <t>Số VB đã tự kiểm tra (Số thực hiện 4 tháng trong kỳ báo cáo)</t>
  </si>
  <si>
    <t>Số văn bản phát hiện trái pháp luật (Số thực hiện 4 tháng trong kỳ báo cáo)</t>
  </si>
  <si>
    <t>Kết quả xử lý văn bản phát hiện trái pháp luật</t>
  </si>
  <si>
    <t xml:space="preserve">Số VB đã tiếp nhận để kiểm tra theo thẩm quyền
(Số thực hiện 4 tháng trong kỳ báo cáo) </t>
  </si>
  <si>
    <t xml:space="preserve">Số VB phát hiện trái pháp luật (Số thực hiện 4 tháng trong kỳ báo cáo) </t>
  </si>
  <si>
    <t>Kết quả xử lý các văn bản phát hiện trái PL</t>
  </si>
  <si>
    <t>Chia theo loại VB</t>
  </si>
  <si>
    <t>Chia theo loại văn bản</t>
  </si>
  <si>
    <t>Văn bản QPPL</t>
  </si>
  <si>
    <t>Văn bản không phải là VB QPPL</t>
  </si>
  <si>
    <t>Số liệu theo các đơn vị chuyên môn thuộc Bộ</t>
  </si>
  <si>
    <t xml:space="preserve">Văn bản QPPL trái pháp luật </t>
  </si>
  <si>
    <t xml:space="preserve">Văn bản không phải là VB QPPL nhưng có chứa QPPL </t>
  </si>
  <si>
    <t xml:space="preserve">VBQPPL trái pháp luật </t>
  </si>
  <si>
    <t xml:space="preserve">VB không phải là VB QPPL nhưng có chứa QPPL </t>
  </si>
  <si>
    <t>Trong đó: Đã xử lý</t>
  </si>
  <si>
    <t>Trong đó:  Số VB trái PL về thẩm quyền ban hành, nội dung</t>
  </si>
  <si>
    <t xml:space="preserve">Văn bản phát hiện trái PL trong kỳ báo cáo </t>
  </si>
  <si>
    <t>Văn bản phát hiện trái PL của kỳ trước chuyển sang</t>
  </si>
  <si>
    <t>Số vb phát hiện trái PL nhỏ hơn kết quả xử lý các vb này</t>
  </si>
  <si>
    <t>Số tổng và số chi tiết không khớp, STP cộng tổng số cột 15 là 26</t>
  </si>
  <si>
    <t>Số tổng và số chi tiết không khớp, STP cộng tổng số cột 11 là 199; Cột 14 là 22</t>
  </si>
  <si>
    <t>Số tổng và số chi tiết không khớp, STP cộng tổng số cột 14, 15 là 109</t>
  </si>
  <si>
    <t xml:space="preserve">Số vb QPPL đã tự kiểm tra cao hơn, gấp 2,3 lần so với tổng số 230 vb QPPL đã ban hành; Số vb phát hiện trái PL nhỏ hơn kết quả xử lý các vb này; </t>
  </si>
  <si>
    <t>Số vb QPPL đã tự kiểm tra cao hơn so với tổng số 495 vb QPPL đã ban hành</t>
  </si>
  <si>
    <t xml:space="preserve">lưu ý số ước tính 2 tháng cao hơn số thực hiện 4 tháng; </t>
  </si>
  <si>
    <t xml:space="preserve">thiếu trang cuối biểu 10d; </t>
  </si>
  <si>
    <t xml:space="preserve">tính tổng sai, số của đvị cột 5 là 6.221; xem lại số lượt ng PBGDPL của STP là 0 trong khi số cuộc PB là 4; </t>
  </si>
  <si>
    <t xml:space="preserve">không có số chi tiết các huyện, Sở ban ngành…; </t>
  </si>
  <si>
    <t xml:space="preserve">Số tổng cột 6 biểu 10d của đơn vị báo ko đúng; </t>
  </si>
  <si>
    <t xml:space="preserve">không có số liệu Sở ban ngành… do Sở ngành không báo cáo; </t>
  </si>
  <si>
    <t>Số ước tính thấp mà không có thuyết minh</t>
  </si>
  <si>
    <t xml:space="preserve">Số tổng và số chi tiết không khớp, số cột 5 của đvi là 36.751; </t>
  </si>
  <si>
    <t>Số ước nhiều hơn số thực hiện 4t nhưng không có thuyết minh</t>
  </si>
  <si>
    <t xml:space="preserve">Số tổng và số chi tiết không khớp, số của đơn vị là 81.611, Sở ban ngành ko có số liệu; </t>
  </si>
  <si>
    <t xml:space="preserve">Số vb QPPL đã tự kiểm tra cao gấp 1,5 lần so với tổng số 2717 vb QPPL đã ban hành </t>
  </si>
  <si>
    <t xml:space="preserve">Số vb QPPL đã tự kiểm tra cao gấp gần 3 lần so với tổng số 420 vb QPPL đã ban hành </t>
  </si>
  <si>
    <t>Biểu mẫu số 18</t>
  </si>
  <si>
    <t>TỔNG HỢP SỐ LIỆU THỐNG KÊ VỀ KẾT QUẢ HOẠT ĐỘNG CỦA LUẬT SƯ</t>
  </si>
  <si>
    <t xml:space="preserve">I. </t>
  </si>
  <si>
    <t>Tình hình tổ chức và hoạt động của các tổ chức hành nghề luật sư trong nước</t>
  </si>
  <si>
    <t>Trong đó: Nộp thuế</t>
  </si>
  <si>
    <t>Chia theo loại hình tổ chức</t>
  </si>
  <si>
    <t>Văn phòng Luật sư</t>
  </si>
  <si>
    <t>Công ty Luật</t>
  </si>
  <si>
    <t>Số việc tham gia tố tụng</t>
  </si>
  <si>
    <t>Số việc tư vấn pháp luật</t>
  </si>
  <si>
    <t xml:space="preserve">Trợ giúp
 pháp lý (miễn phí)
</t>
  </si>
  <si>
    <t>Số Tổ chức hành nghề luật sư cao hơn số Luật sư hành nghề</t>
  </si>
  <si>
    <t>Số LS tăng 1.7 lần so với cả năm 2013; kiểm tra lại đơn vị tính về doanh thu, nộp thuế</t>
  </si>
  <si>
    <t>Tổng số vụ việc theo báo cáo của đơn vị là 1009 nhưng số chi tiết là 1069</t>
  </si>
  <si>
    <t>kiểm tra lại đơn vị tính về doanh thu, có số thu nhưng không có số nộp thuế</t>
  </si>
  <si>
    <t xml:space="preserve"> Doanh thu ít hơn số tiền nộp thuế</t>
  </si>
  <si>
    <t>Tổng số vụ việc theo báo cáo của đơn vị là 119 nhưng số chi tiết là 464</t>
  </si>
  <si>
    <t>không có số liệu về doanh thu, nộp thuế</t>
  </si>
  <si>
    <t>Thiếu số liệu nộp thuế của Văn phòng luật sư</t>
  </si>
  <si>
    <t>kiểm tra lại đơn vị tính về doanh thu, nộp thuế</t>
  </si>
  <si>
    <t xml:space="preserve">II. </t>
  </si>
  <si>
    <t>Tình hình tổ chức và hoạt động của các tổ chức hành nghề luật sư nước ngoài tại Việt Nam</t>
  </si>
  <si>
    <t>Số việc tư vấn pháp luật
 (Việc)</t>
  </si>
  <si>
    <t>Doanh thu (Nghìn đồng)</t>
  </si>
  <si>
    <t>Số LS nước ngoài làm việc tại TCHNLSNN</t>
  </si>
  <si>
    <t>Số LS Việt Nam làm việc tại TCHNLS</t>
  </si>
  <si>
    <t>Số liệu luật sư trong nước:</t>
  </si>
  <si>
    <t>Bình Định: thống kê theo báo cáo của 5/20 tổ chức  hành nghề luật sư trong nước trên địa bàn tỉnh</t>
  </si>
  <si>
    <t>Đồng Nai: thống kê theo báo cáo của 73 tổ chức hành nghề luật sư trong nước trên địa bàn tỉnh</t>
  </si>
  <si>
    <t>Quảng Trị: Số nộp thuế chưa có số liệu của Văn phòng luật sư</t>
  </si>
  <si>
    <t>Địa phương đính chính qua điện thoại, email</t>
  </si>
  <si>
    <t>Đơn vị đính chính qua điện thoại</t>
  </si>
  <si>
    <t>Thành phố Hồ Chí Minh: thống kê theo báo cáo của 437/1.332 tổ chức hành nghề luật sư nước ngoài (Số luật sư đang làm việc tại 437 tổ chức là 916 luật sư); số luật sư thành viên của Đoàn luật sư Tp. Hồ Chí Minh là 3.622 luật sư.</t>
  </si>
  <si>
    <t xml:space="preserve">Số liệu luật sư nước ngoài </t>
  </si>
  <si>
    <t>Thành phố Hồ Chí Minh: thống kê theo báo cáo của 29/51 tổ chức hành nghề luật sư nước ngoài</t>
  </si>
  <si>
    <r>
      <t xml:space="preserve">Số tổ chức hành nghề luật sư (Số thực hiện 4 tháng trong kỳ báo cáo) 
</t>
    </r>
    <r>
      <rPr>
        <b/>
        <i/>
        <sz val="12"/>
        <rFont val="Times New Roman"/>
        <family val="1"/>
      </rPr>
      <t xml:space="preserve">(Tổ chức)
</t>
    </r>
  </si>
  <si>
    <r>
      <t xml:space="preserve">Số LS hành nghề tại địa phương (Số thực hiện 4 tháng trong kỳ báo cáo) 
</t>
    </r>
    <r>
      <rPr>
        <b/>
        <i/>
        <sz val="12"/>
        <rFont val="Times New Roman"/>
        <family val="1"/>
      </rPr>
      <t>(Người)</t>
    </r>
  </si>
  <si>
    <r>
      <t>Số việc thực hiện</t>
    </r>
    <r>
      <rPr>
        <b/>
        <i/>
        <sz val="12"/>
        <rFont val="Times New Roman"/>
        <family val="1"/>
      </rPr>
      <t xml:space="preserve"> (Việc)</t>
    </r>
  </si>
  <si>
    <r>
      <t xml:space="preserve">Doanh thu </t>
    </r>
    <r>
      <rPr>
        <b/>
        <i/>
        <sz val="12"/>
        <rFont val="Times New Roman"/>
        <family val="1"/>
      </rPr>
      <t>(Nghìn đồng)</t>
    </r>
  </si>
  <si>
    <r>
      <t xml:space="preserve">Doanh thu 
</t>
    </r>
    <r>
      <rPr>
        <i/>
        <sz val="12"/>
        <rFont val="Times New Roman"/>
        <family val="1"/>
      </rPr>
      <t>(Nghìn đồng)</t>
    </r>
  </si>
  <si>
    <r>
      <t>Số tổ chức hành nghề luật sư nước ngoài (Số thực hiện 4 tháng trong kỳ báo cáo)</t>
    </r>
    <r>
      <rPr>
        <b/>
        <i/>
        <sz val="12"/>
        <rFont val="Times New Roman"/>
        <family val="1"/>
      </rPr>
      <t xml:space="preserve">
(Tổ chức)</t>
    </r>
  </si>
  <si>
    <r>
      <t xml:space="preserve">Số LS làm việc tại tổ chức hành nghề LSNN (Số thực hiện 4 tháng trong kỳ báo cáo) 
</t>
    </r>
    <r>
      <rPr>
        <b/>
        <i/>
        <sz val="12"/>
        <rFont val="Times New Roman"/>
        <family val="1"/>
      </rPr>
      <t>(Người)</t>
    </r>
  </si>
  <si>
    <t>Biểu mẫu số 19</t>
  </si>
  <si>
    <t>TỔNG HỢP SỐ LIỆU THỐNG KÊ VỀ KẾT QUẢ HOẠT ĐỘNG CÔNG CHỨNG</t>
  </si>
  <si>
    <t>Chia theo loại việc công chứng</t>
  </si>
  <si>
    <t>Phòng công chứng</t>
  </si>
  <si>
    <t>Văn phòng công chứng</t>
  </si>
  <si>
    <t>Công chứng hợp đồng</t>
  </si>
  <si>
    <t>Công chứng giao dịch khác</t>
  </si>
  <si>
    <t>(10)</t>
  </si>
  <si>
    <t>(11)</t>
  </si>
  <si>
    <t>(14)</t>
  </si>
  <si>
    <t>(15)</t>
  </si>
  <si>
    <t>(16)</t>
  </si>
  <si>
    <t>(17)</t>
  </si>
  <si>
    <t>Số này cần xem lại tính hợp lý do một số địa phương (Sở Tư pháp) báo cáo thiếu hợp lý ảnh hưởng đến số liệu chung của cả nước</t>
  </si>
  <si>
    <t>Cột số 9 số liệu của địa phương là 12.618</t>
  </si>
  <si>
    <t>Cột số 4-Số liệu của địa phương là 25; Cột số 9, 14, 17-Địa phương không cộng dòng Tổng số</t>
  </si>
  <si>
    <t>Số phí và số tiền thuế cao đột biến, kiểm tra lại đơn vị tính về giá trị thu phí CC thực hiện 508 tỷ đồng, nộp thuế 123 tỷ đồng.</t>
  </si>
  <si>
    <t>Số việc công chứng cộng tổng sai, địa phương bc là 49,858</t>
  </si>
  <si>
    <t>Số việc công chứng cộng tổng sai; địa phương bc là 15.767</t>
  </si>
  <si>
    <t>kiểm tra lại đơn vị tính về số thu phí, nộp thuế, thu phí CC 4 tháng189 tỷ đồng, nộp thuế 94 tỷ đồng.</t>
  </si>
  <si>
    <t>Cột số 9 số liệu của địa phương là 22.676</t>
  </si>
  <si>
    <t>Cột số 9 số liệu của địa phương là 8.790; thu phí CC thực hiện trong 4 tháng là 1 tỷ đồng, nộp thuế 409 tỷ đồng.</t>
  </si>
  <si>
    <t>Cột số 9 số liệu của địa phương là 14.586</t>
  </si>
  <si>
    <t>Cột số 9 số liệu của địa phương là 4.215</t>
  </si>
  <si>
    <t>Bắc Kạn: chỉ có số liệu Phòng công chứng</t>
  </si>
  <si>
    <t>Bình Định: theo báo cáo của 7/8 Văn phòng công chứng</t>
  </si>
  <si>
    <t>Bình Dương: theo báo cáo của 14/17 Văn phòng công chứng và 2/2 Phòng công chứng</t>
  </si>
  <si>
    <t>Tp Hồ Chí Minh: theo báo cáo của 40/45 Văn phòng công chứng</t>
  </si>
  <si>
    <r>
      <t xml:space="preserve">Số tổ chức hành nghề công chứng  (Số thực hiện 4 tháng trong kỳ báo cáo) 
</t>
    </r>
    <r>
      <rPr>
        <b/>
        <i/>
        <sz val="12"/>
        <rFont val="Times New Roman"/>
        <family val="1"/>
      </rPr>
      <t xml:space="preserve">(Tổ chức) </t>
    </r>
  </si>
  <si>
    <r>
      <t xml:space="preserve">Số công chứng viên 
(Số thực hiện 4 tháng trong kỳ báo cáo)
</t>
    </r>
    <r>
      <rPr>
        <b/>
        <i/>
        <sz val="12"/>
        <rFont val="Times New Roman"/>
        <family val="1"/>
      </rPr>
      <t>(Người)</t>
    </r>
  </si>
  <si>
    <r>
      <t xml:space="preserve">Số lượng việc công chứng  
</t>
    </r>
    <r>
      <rPr>
        <b/>
        <i/>
        <sz val="12"/>
        <rFont val="Times New Roman"/>
        <family val="1"/>
      </rPr>
      <t>(Việc)</t>
    </r>
  </si>
  <si>
    <r>
      <t xml:space="preserve">Số phí CC thu được 
</t>
    </r>
    <r>
      <rPr>
        <b/>
        <i/>
        <sz val="12"/>
        <rFont val="Times New Roman"/>
        <family val="1"/>
      </rPr>
      <t>(Nghìn đồng)</t>
    </r>
  </si>
  <si>
    <r>
      <t xml:space="preserve">Số tiền nộp vào ngân sách Nhà nước hoặc nộp thuế 
</t>
    </r>
    <r>
      <rPr>
        <b/>
        <i/>
        <sz val="12"/>
        <rFont val="Times New Roman"/>
        <family val="1"/>
      </rPr>
      <t>(Nghìn đồng)</t>
    </r>
  </si>
  <si>
    <t>Biểu mẫu số 20</t>
  </si>
  <si>
    <t>TỔNG HỢP SỐ LIỆU THỐNG KÊ VỀ KẾT QUẢ BÁN ĐẤU GIÁ TÀI SẢN</t>
  </si>
  <si>
    <t>Tiền đặt trước trong trường hợp không được trả lại theo quy định pháp luật  (Số thực hiện 4 tháng trong kỳ báo cáo)
 (Nghìn đồng)</t>
  </si>
  <si>
    <t>Tổng số tiền nộp ngân sách 
(Nghìn đồng)</t>
  </si>
  <si>
    <t>Chia theo loại hình
 tổ chức</t>
  </si>
  <si>
    <t>Tổng số cuộc</t>
  </si>
  <si>
    <t>Trong đó
Số cuộc BĐG thành</t>
  </si>
  <si>
    <t>Tổ chức bán đấu giá chuyên nghiệp</t>
  </si>
  <si>
    <t>Hội đồng bán đấu giá</t>
  </si>
  <si>
    <t>Xem lại đơn vị tính, thu 36+535 tỷ đồng, nộp ngân sách 59 tỷ đồng?</t>
  </si>
  <si>
    <t>Số tiền nộp NS cao hơn số thu</t>
  </si>
  <si>
    <t>Xem lại đơn vị tính;thu 390+354 tỷ đồng, nộp ngân sách 8.187 tỷ đồng?</t>
  </si>
  <si>
    <t>Bc của địa phương không có số chi tiết về số lượng tổ chức bán đấu giá chuyên nghiệp</t>
  </si>
  <si>
    <t>Biểu không có số nộp ngân sách, ước nộp ngân sách 25 tỷ đồng?</t>
  </si>
  <si>
    <t>Bc của địa phương số tổng và số chi tiết về số lượng tổ chức bán đấu giá chuyên nghiệp không khớp, có sốtổng về số hội đồng BĐG nhưng không có số liệu về kết quả bán đấu giá; toàn tỉnh không có số liệu về số thu và nộp ngân sách?</t>
  </si>
  <si>
    <t xml:space="preserve">Bc của địa phương: tổng số tổ chức BĐG chuyên nghiệp là 2 nhưng số chi tiết là 7 tổ chức </t>
  </si>
  <si>
    <t>Ước tính không đúng cột</t>
  </si>
  <si>
    <t>Số tiền nộp NS cao hơn số thu; nộp ngân sách 268 tỷ đồng</t>
  </si>
  <si>
    <t>số nộp ngân sách?</t>
  </si>
  <si>
    <t>Ước tính số tiền nộp NS trong 2 tháng cao gấp 491 lần số nộp ngân sách trong 4 tháng</t>
  </si>
  <si>
    <t>Tổng số cuộc đấu giá thành số tổng là 92 cuộc, số chi tiết là 14 cuộc?</t>
  </si>
  <si>
    <t>Báo cáo của Tuyên Quang ước tính số cuộc vào cột phí tham gia đấu giá?</t>
  </si>
  <si>
    <t xml:space="preserve">Địa phương đính chính bằng văn bản </t>
  </si>
  <si>
    <t>Bình Dương: Theo báo cáo của 4/11 tổ chức bán đấu giá</t>
  </si>
  <si>
    <t>Điện Biên: Số liệu thực tế đến 30/6/2014 nên không có ước tính</t>
  </si>
  <si>
    <t>Đà Nẵng: Trong số 24 đấu giá viên đã bao gồm 5 đấu giá viên chưa đăng ký hoạt động ở tổ chức bán đấu giá nào</t>
  </si>
  <si>
    <r>
      <t xml:space="preserve">Số tổ chức BĐG tài sản  (Số thực hiện 4 tháng trong kỳ báo cáo) 
</t>
    </r>
    <r>
      <rPr>
        <b/>
        <i/>
        <sz val="12"/>
        <rFont val="Times New Roman"/>
        <family val="1"/>
      </rPr>
      <t>(Tổ chức)</t>
    </r>
  </si>
  <si>
    <r>
      <t xml:space="preserve">Số lượng Đấu giá viên (Số thực hiện 4 tháng trong kỳ báo cáo)
</t>
    </r>
    <r>
      <rPr>
        <b/>
        <i/>
        <sz val="11"/>
        <rFont val="Times New Roman"/>
        <family val="1"/>
      </rPr>
      <t>(Người)</t>
    </r>
  </si>
  <si>
    <r>
      <t xml:space="preserve">Số hợp đồng đã ký (Số thực hiện 4 tháng trong kỳ báo cáo) 
</t>
    </r>
    <r>
      <rPr>
        <b/>
        <i/>
        <sz val="12"/>
        <rFont val="Times New Roman"/>
        <family val="1"/>
      </rPr>
      <t>(Hợp đồng)</t>
    </r>
  </si>
  <si>
    <r>
      <t>Số cuộc bán đấu giá đã thực hiện</t>
    </r>
    <r>
      <rPr>
        <b/>
        <i/>
        <sz val="12"/>
        <rFont val="Times New Roman"/>
        <family val="1"/>
      </rPr>
      <t xml:space="preserve"> 
(Cuộc)</t>
    </r>
  </si>
  <si>
    <r>
      <t xml:space="preserve">Tổng số phí 
tham gia đấu giá 
</t>
    </r>
    <r>
      <rPr>
        <b/>
        <i/>
        <sz val="12"/>
        <rFont val="Times New Roman"/>
        <family val="1"/>
      </rPr>
      <t>(Nghìn đồng)</t>
    </r>
  </si>
  <si>
    <r>
      <t xml:space="preserve">Tổng số phí đấu giá thu được
(Số thực hiện 4 tháng trong kỳ báo cáo)
 </t>
    </r>
    <r>
      <rPr>
        <b/>
        <i/>
        <sz val="12"/>
        <rFont val="Times New Roman"/>
        <family val="1"/>
      </rPr>
      <t>(Nghìn đồng)</t>
    </r>
  </si>
  <si>
    <t>Biểu mẫu số 13</t>
  </si>
  <si>
    <t>TỔNG HỢP SỐ LIỆU THỐNG KÊ VỀ CÔNG TÁC LÝ LỊCH TƯ PHÁP</t>
  </si>
  <si>
    <t>(Số người có lý lịch tư pháp, số lượng thông tin lý lịch tư pháp nhận được)</t>
  </si>
  <si>
    <t xml:space="preserve"> Số vb phát hiện trái PL nhỏ hơn kết quả xử lý các vb này</t>
  </si>
  <si>
    <t xml:space="preserve">không có số liệu Sở ban ngành…; </t>
  </si>
  <si>
    <t>Số tổng và số chi tiết không khớp; Sở Tư pháp cộng số tổng của cột 4 là 146</t>
  </si>
  <si>
    <t>tổng số phiếu số 1 là 892 nhưng chia theo nội dung xác nhận lại chỉ có 2 phiếu.; TS cột 3 đv tính sai=894; Số tổng và số chi tiết không khớp: Sở Tư pháp cộng tổng số cột 11 =356 nhưng chi tiết là 354</t>
  </si>
  <si>
    <t>Đề nghị kiểm tra tính hợp lý của phiểu số 1: TSƯT 6 tháng năm 2014 cao gấp 7 lần so với TS thực hiện 6 tháng năm 2013</t>
  </si>
  <si>
    <t>Đề nghị kiểm tra tính hợp lý của phiểu số 1:TSƯT 6 tháng số phiếu LLTP số 1 năm 2014 cao gấp 7 lần so với TS thực hiện 6 tháng năm 2013</t>
  </si>
  <si>
    <t>Đề nghị kiểm tra tính hợp lý của số liệu: TSƯT 6 tháng số phiếu LLTP số 2 năm 2014 cao gấp 52 lần so với TS thực hiện 6 tháng năm 2013</t>
  </si>
  <si>
    <t>Đề nghị kiểm tra tính hợp lý của số liệu: TSƯT 6 tháng số phiếu LLTP số 1 năm 2014 cao gấp 6 lần so với TS thực hiện 6 tháng năm 2013; TSƯT 6 tháng số phiếu LLTP số 2 năm 2014 cao gấp 27 lần so với TS thực hiện 6 tháng năm 2013</t>
  </si>
  <si>
    <t>Số chi tiết cột 15,16 =0 nhưng TS cột 11=438</t>
  </si>
  <si>
    <t>Tổng số cột 3 bằng 669 nhưng cột chi tiết 7,8 là 699; Rieng cột số 8 có số 688 trong báo cáo giấy có các cột chi tiết bằng 0; Số chi tiết  cột 15,16=0 nhung TS cột 11=4</t>
  </si>
  <si>
    <t>Số lượng luật sư: theo quản lý của Bộ Tư pháp tính đến tháng 6/2014 có 8.696 luật sư.</t>
  </si>
  <si>
    <t>Bộ Tư pháp: Số liệu thống kê tính đến 30/6/2014</t>
  </si>
  <si>
    <t>Số công dân Việt Nam có LLTP</t>
  </si>
  <si>
    <t>Số người nước ngoài có LLTP</t>
  </si>
  <si>
    <t>Thông tin LLTP về án tích do các cơ quan cung cấp</t>
  </si>
  <si>
    <t>Thông tin LLTP về cấm đảm nhiệm chức vụ, thành lập, quản lý DN, HTX do Tòa án các cấp cung cấp</t>
  </si>
  <si>
    <t>Trung tâm Lý lịch tư pháp quốc gia</t>
  </si>
  <si>
    <t>Cơ quan Thi hành án dân sự</t>
  </si>
  <si>
    <t>Tòa án các cấp, VKSND cấp tỉnh, Cơ quan Công an cấp huyện, Cơ quan khác</t>
  </si>
  <si>
    <t xml:space="preserve">Tổng số tại các địa phương </t>
  </si>
  <si>
    <t>Kiểm tra tính hợp lý của số người có LLTP, chênh lệch lớn so với kỳ bc trước; TSƯT 6 tháng số người có LLTP năm 2014 là 1 người, TS 6 tháng năm 2013 là 1324.</t>
  </si>
  <si>
    <t>Bà Rịa-Vũng Tàu</t>
  </si>
  <si>
    <t xml:space="preserve">Kiểm tra tính hợp lý của số người có LLTP, chênh lệch lớn so với kỳ bc trước; TSƯT số người có LLTP 6 tháng năm 2014 thấp hơn 5 lần so với TS 2,487 người trong 6 tháng năm 2013 </t>
  </si>
  <si>
    <t xml:space="preserve">Kiểm tra tính hợp lý của số người có LLTP, chênh lệch lớn so với kỳ bc trước; TSƯT số người có LLTP 6 tháng năm 2014 thấp hơn 6 lần so với TS 3,771 người của 6 tháng năm 2013 </t>
  </si>
  <si>
    <t xml:space="preserve">Kiểm tra tính hợp lý của số người có LLTP, chênh lệch lớn so với kỳ bc trước; TSƯT 6 tháng số người có LLTP năm 2014 thấp hơn so với TS 336 người trong 6 tháng năm 2013 </t>
  </si>
  <si>
    <t xml:space="preserve">Kiểm tra tính hợp lý của số người có LLTP, chênh lệch lớn so với kỳ bc trước; TSƯT 6 tháng số người có LLTP năm 2014 thấp hơn so với TS 4,825 người trong kỳ 6 tháng năm 2013; số tổng và số chi tiết không khớp: Sở Tư pháp cộng tổng số cột 10 =8472. </t>
  </si>
  <si>
    <t>Kiểm tra tính hợp lý của số người có LLTP, chênh lệch lớn so với kỳ bc trước: TSƯT 6 tháng số người có LLTP năm 2014 cao gấp 82 lần TS 12 người trong 6 tháng năm 2013</t>
  </si>
  <si>
    <t xml:space="preserve">Kiểm tra tính hợp lý của số người có LLTP, chênh lệch lớn so với kỳ bc trước; TSƯT 6 tháng số người có LLTP năm 2014 thấp hơn 26 lần so với  TS 19.167 người 6 tháng năm 2013 </t>
  </si>
  <si>
    <r>
      <t xml:space="preserve">Số người có LLTP </t>
    </r>
    <r>
      <rPr>
        <b/>
        <i/>
        <sz val="12"/>
        <rFont val="Times New Roman"/>
        <family val="1"/>
      </rPr>
      <t>(Người)</t>
    </r>
  </si>
  <si>
    <r>
      <t xml:space="preserve">Số lượng thông tin LLTP nhận được </t>
    </r>
    <r>
      <rPr>
        <b/>
        <i/>
        <sz val="12"/>
        <rFont val="Times New Roman"/>
        <family val="1"/>
      </rPr>
      <t>(Thông tin)</t>
    </r>
  </si>
  <si>
    <t>Biểu mẫu số 15</t>
  </si>
  <si>
    <t>TỔNG HỢP SỐ LIỆU THỐNG KÊ VỀ KẾT QUẢ GIẢI QUYẾT YÊU CẦU BỒI THƯỜNG NHÀ NƯỚC</t>
  </si>
  <si>
    <t>Tình hình yêu cầu bồi thường và giải quyết yêu cầu bồi thường trong hoạt động quản lý hành chính</t>
  </si>
  <si>
    <t>Tình hình chi trả tiền bồi thường của cơ quan hành chính nhà nước theo bản án, quyết định của Tòa án có tuyên bồi thường trong quá trình giải quyết vụ án hành chính</t>
  </si>
  <si>
    <t>Số thụ lý để chi trả tiền bồi thường (Số thực hiện 4 tháng trong kỳ báo cáo)</t>
  </si>
  <si>
    <t>II. Tại các
 địa phương</t>
  </si>
  <si>
    <r>
      <t xml:space="preserve">Số vụ có văn bản giải quyết bồi thường
</t>
    </r>
    <r>
      <rPr>
        <i/>
        <sz val="12"/>
        <rFont val="Times New Roman"/>
        <family val="1"/>
      </rPr>
      <t>(Vụ việc)</t>
    </r>
  </si>
  <si>
    <r>
      <t xml:space="preserve">Số tiền bồi thường trong văn bản giải quyết bồi thường có hiệu lực pháp luật (Số thực hiện 4 tháng trong kỳ báo cáo) 
</t>
    </r>
    <r>
      <rPr>
        <i/>
        <sz val="12"/>
        <rFont val="Times New Roman"/>
        <family val="1"/>
      </rPr>
      <t>(Nghìn đồng)</t>
    </r>
  </si>
  <si>
    <t>Số chi tiết để trống, TS=6163</t>
  </si>
  <si>
    <r>
      <t xml:space="preserve">Số tiền chi trả cho người bị thiệt hại
</t>
    </r>
    <r>
      <rPr>
        <i/>
        <sz val="12"/>
        <rFont val="Times New Roman"/>
        <family val="1"/>
      </rPr>
      <t>(Nghìn đồng)</t>
    </r>
    <r>
      <rPr>
        <sz val="12"/>
        <rFont val="Times New Roman"/>
        <family val="1"/>
      </rPr>
      <t xml:space="preserve">
</t>
    </r>
  </si>
  <si>
    <r>
      <t xml:space="preserve">Số vụ việc có yêu cầu chi trả tiền bồi thường theo bản án, quyết định của Tòa án có tuyên bồi thường </t>
    </r>
    <r>
      <rPr>
        <i/>
        <sz val="12"/>
        <rFont val="Times New Roman"/>
        <family val="1"/>
      </rPr>
      <t>(Vụ việc)</t>
    </r>
  </si>
  <si>
    <r>
      <t xml:space="preserve">Số tiền bồi thường trong bản án, quyết định của Tòa án </t>
    </r>
    <r>
      <rPr>
        <i/>
        <sz val="12"/>
        <rFont val="Times New Roman"/>
        <family val="1"/>
      </rPr>
      <t>(Nghìn đồng)</t>
    </r>
  </si>
  <si>
    <r>
      <t xml:space="preserve">Số vụ việc cơ quan hành chính nhà nước đã giải quyết xong 
</t>
    </r>
    <r>
      <rPr>
        <i/>
        <sz val="12"/>
        <rFont val="Times New Roman"/>
        <family val="1"/>
      </rPr>
      <t>(Vụ việc)</t>
    </r>
  </si>
  <si>
    <t>Biểu mẫu số 16</t>
  </si>
  <si>
    <t xml:space="preserve">TỔNG HỢP SỐ LIỆU THỐNG KÊ VỀ KẾT QUẢ ĐĂNG KÝ, CUNG CẤP THÔNG TIN VỀ GIAO DỊCH BẢO ĐẢM </t>
  </si>
  <si>
    <t>(Đối với tài sản là tàu bay, tàu biển, quyền sử dụng đất, tài sản gắn liền với đất)</t>
  </si>
  <si>
    <t>Cung cấp thông tin về đăng ký giao dịch bảo đảm về bất động sản (bao gồm tàu bay, tàu biển)
(Đơn)</t>
  </si>
  <si>
    <t>Số đơn thụ lý (Số thực hiện trong 4 tháng)</t>
  </si>
  <si>
    <t>Số đơn đã giải quyết</t>
  </si>
  <si>
    <t>TỔNG SỐ</t>
  </si>
  <si>
    <t xml:space="preserve">I. Tại Bộ Giao thông vận tải </t>
  </si>
  <si>
    <t>II. Tại địa bàn 
tỉnh/thành phố</t>
  </si>
  <si>
    <t>Số tổng và số chi tiết không khớp, STP cộng tổng số cột 5, cột 8 mỗi cột =8970</t>
  </si>
  <si>
    <t>Số tổng và số chi tiết không khớp, STP cộng tổng số cột 5, cột 8 mỗi cột =35425</t>
  </si>
  <si>
    <t>Số tổng và số chi tiết không khớp, STP cộng tổng số cột 5, cột 8 mỗi cột=6841</t>
  </si>
  <si>
    <t>Số tổng và số chi tiết không khớp, STP cộng tổng số cột 5 =8599; TS cột 8 =8591; số đơn giải quyết lớn hơn số đơn thụ lý</t>
  </si>
  <si>
    <t>Số tổng và số chi tiết không khớp, STP cộng tổng số cột 5 =1204; TS cột 8 =1178</t>
  </si>
  <si>
    <t>Số tổng và số chi tiết không khớp, STP cộng tổng số cột 5, cột 8 mỗi cột=1387</t>
  </si>
  <si>
    <t>TS 6 tháng số đơn đã giải quyết của ĐKGDBĐ bằng QSDĐ, tài sản gắn liền với đất 6 tháng năm 2014 cao gấp 24 lần so với TS thực hiện 6 tháng năm 2013</t>
  </si>
  <si>
    <t>Số tổng và số chi tiết không khớp, STP cộng tổng số cột 8 =2445 cần kiểm tra lại tính hợp lý của số liệu vì với số cộng lại theo báo cáo của địa phương thì số đơn giải quyết lớn hơn số đơn thụ lý</t>
  </si>
  <si>
    <t>Số tổng và số chi tiết không khớp, STP cộng tổng số cột 5, cột 8 mỗi cột =23031</t>
  </si>
  <si>
    <t>Số tổng và số chi tiết không khớp, STP cộng tổng số cột 5, cột 8 mỗi cột =4127</t>
  </si>
  <si>
    <t>Số tổng và số chi tiết không khớp, STP cộng tổng số cột 5, cột 8 mỗi cột = 1932</t>
  </si>
  <si>
    <t>Số tổng và số chi tiết không khớp, STP cộng tổng số cột 5, cột 8 mỗi cột =32434</t>
  </si>
  <si>
    <t>TS 6 tháng số đơn đã giải quyết của ĐKGDBĐ bằng QSDĐ, tài sản gắn liền với đất năm 2014 cao gấp 100 lần so với TS thực hiện 6 tháng năm 2013</t>
  </si>
  <si>
    <t>Số tổng và số chi tiết không khớp, STP cộng tổng số cột 5, cột 8 mỗi cột=8871</t>
  </si>
  <si>
    <t>Số tổng và số chi tiết không khớp, STP cộng tổng số cột 5, cột 8 mỗi cột =8204</t>
  </si>
  <si>
    <r>
      <t xml:space="preserve">Đăng ký giao dịch bảo đảm bằng tàu bay hoặc tàu biển
</t>
    </r>
    <r>
      <rPr>
        <b/>
        <i/>
        <sz val="12"/>
        <rFont val="Times New Roman"/>
        <family val="1"/>
      </rPr>
      <t>(Đơn)</t>
    </r>
  </si>
  <si>
    <r>
      <t xml:space="preserve">Đăng ký giao dịch bảo đảm bằng quyền sử dụng đất, tài sản gắn liền với đất
</t>
    </r>
    <r>
      <rPr>
        <b/>
        <i/>
        <sz val="12"/>
        <rFont val="Times New Roman"/>
        <family val="1"/>
      </rPr>
      <t>(Đơn)</t>
    </r>
  </si>
  <si>
    <t>Biểu mẫu số 17</t>
  </si>
  <si>
    <t xml:space="preserve"> (Đối với tài sản là động sản; Tiếp nhận văn bản yêu cầu thông báo về việc thế chấp phương tiện giao thông)</t>
  </si>
  <si>
    <t xml:space="preserve">Số đơn thụ lý (Số thực hiện 4 tháng trong kỳ báo cáo) </t>
  </si>
  <si>
    <t xml:space="preserve">Số văn bản yêu cầu thông báo về việc thế chấp phương tiện giao thông được tiếp nhận (Số thực hiện 4 tháng trong kỳ báo cáo) </t>
  </si>
  <si>
    <t>Số văn bản yêu cầu thông báo về việc thế chấp phương tiện giao thông được giải quyết</t>
  </si>
  <si>
    <t>Tổng số tại các Trung tâm đăng ký giao dịch, tài sản của Cục ĐKQGGDBĐ</t>
  </si>
  <si>
    <t>Trung tâm ĐKGDTS tại HN</t>
  </si>
  <si>
    <t>Số tổng và số chi tiết không khớp, STP cộng tổng số cột 5, cột 8 mỗi cột =26133</t>
  </si>
  <si>
    <t>Trung tâm ĐKGDTS tại TP.HCM</t>
  </si>
  <si>
    <t>Trung tâm ĐKGDTS tại Đà Nẵng</t>
  </si>
  <si>
    <r>
      <t>Đăng ký giao dịch bảo đảm, hợp đồng, thông báo kê biên tài sản là động sản</t>
    </r>
    <r>
      <rPr>
        <sz val="12"/>
        <rFont val="Times New Roman"/>
        <family val="1"/>
      </rPr>
      <t xml:space="preserve"> (trừ tàu bay, tàu biển) 
</t>
    </r>
    <r>
      <rPr>
        <i/>
        <sz val="12"/>
        <rFont val="Times New Roman"/>
        <family val="1"/>
      </rPr>
      <t>(Đơn)</t>
    </r>
  </si>
  <si>
    <r>
      <t xml:space="preserve">Cung cấp thông tin về giao dịch bảo đảm, hợp đồng, tài sản kê biên là động sản (trừ tàu bay, tàu biển) 
</t>
    </r>
    <r>
      <rPr>
        <b/>
        <i/>
        <sz val="12"/>
        <rFont val="Times New Roman"/>
        <family val="1"/>
      </rPr>
      <t>(Đơn)</t>
    </r>
  </si>
  <si>
    <r>
      <t>Kết quả tiếp nhận văn bản thông báo về việc thế chấp phương tiện giao thông</t>
    </r>
    <r>
      <rPr>
        <b/>
        <i/>
        <sz val="12"/>
        <rFont val="Times New Roman"/>
        <family val="1"/>
      </rPr>
      <t xml:space="preserve"> 
(Văn bản)</t>
    </r>
  </si>
  <si>
    <t>Biểu mẫu số 12</t>
  </si>
  <si>
    <t>TỔNG HỢP SỐ LIỆU THỐNG KÊ VỀ CÔNG TÁC LÝ LỊCH TƯ PHÁP (Số phiếu lý lịch tư pháp đã cấp)</t>
  </si>
  <si>
    <t>Đơn vị tính: Phiếu</t>
  </si>
  <si>
    <t>Số Phiếu LLTP số 1 đã cấp</t>
  </si>
  <si>
    <t>Số Phiếu LLTP số 2 đã cấp</t>
  </si>
  <si>
    <t>Chia theo đối tượng yêu cầu cấp LLTP</t>
  </si>
  <si>
    <t>Chia theo nội dung</t>
  </si>
  <si>
    <t>Công dân Việt Nam</t>
  </si>
  <si>
    <t>Người nước ngoài</t>
  </si>
  <si>
    <t>Cơ quan Nhà nước, Tổ chức chính trị, tổ chức chính trị xã hội</t>
  </si>
  <si>
    <t>Tổng số có án tích</t>
  </si>
  <si>
    <t>Tổng số không có án tích</t>
  </si>
  <si>
    <t>Cơ quan tiến hành tố tụng</t>
  </si>
  <si>
    <t>Tổng số đã bị kết án</t>
  </si>
  <si>
    <t>Tổng số không bị kết án</t>
  </si>
  <si>
    <t>TS cột 3 đv tính sai=305</t>
  </si>
  <si>
    <t>Số chi tiết=0, TS=32</t>
  </si>
  <si>
    <t>Số chi tiết=0, TS=26</t>
  </si>
  <si>
    <t>Địa phương đính chính qua điện thoại</t>
  </si>
  <si>
    <t>Số chi tiết=0, TS=167</t>
  </si>
  <si>
    <t>Số chi tiết bất hợp lý so với tổng số</t>
  </si>
  <si>
    <t>Số chi tiết cột 7,8=0, TS cột 3=1086; Số chi tiết =0, TS cột 11=152</t>
  </si>
  <si>
    <t>Kiểm tra lại số chi tiết; Tổng số 208 phiếu, trong đó 208 phiếu có án tích; 208 phiếu không có án tích</t>
  </si>
  <si>
    <t>.</t>
  </si>
  <si>
    <t>BỘ TƯ PHÁP</t>
  </si>
  <si>
    <t>6 tháng năm 2014 (từ 01/01/2014 đến 30/6/2014)</t>
  </si>
  <si>
    <t>Số thực hiện 4 tháng trong kỳ báo cáo</t>
  </si>
  <si>
    <t>Chia ra</t>
  </si>
  <si>
    <t>Tổng số</t>
  </si>
  <si>
    <t>A</t>
  </si>
  <si>
    <t>Tổng số tại địa bàn cả nước</t>
  </si>
  <si>
    <t>I. Tại các Bộ, Ngành ở Trung ương</t>
  </si>
  <si>
    <t>Biểu mẫu số 6</t>
  </si>
  <si>
    <t>II. Tại các địa phương</t>
  </si>
  <si>
    <t>Trong đó</t>
  </si>
  <si>
    <t>Biểu mẫu số 14</t>
  </si>
  <si>
    <t xml:space="preserve">Tổng số vụ việc tiếp nhận trợ giúp pháp lý </t>
  </si>
  <si>
    <t>Kết quả giải quyết</t>
  </si>
  <si>
    <t xml:space="preserve">Tổng số ước tính 6 tháng </t>
  </si>
  <si>
    <t>Số ước tính 2 tháng cuối kỳ báo cáo</t>
  </si>
  <si>
    <t>Số vụ việc đã hoàn thành</t>
  </si>
  <si>
    <t>Số vụ việc chuyển đi nơi khác     (Số thực hiện 4 tháng trong kỳ báo cáo)</t>
  </si>
  <si>
    <t>Số vụ việc chuyển sang kỳ sau        (Số thực hiện 4 tháng trong kỳ báo cáo)</t>
  </si>
  <si>
    <t>Chia theo loại kiến nghị</t>
  </si>
  <si>
    <t>Kiến nghị về thi hành pháp luật</t>
  </si>
  <si>
    <t>Kiến nghị sửa đổi, bổ sung  các VBQPPL</t>
  </si>
  <si>
    <t>Đối với giải quyết vụ việc</t>
  </si>
  <si>
    <t>Đối với thực thi công vụ</t>
  </si>
  <si>
    <t>Ghi chú:</t>
  </si>
  <si>
    <t>Ô để trống</t>
  </si>
  <si>
    <t>Đơn vị chưa gửi báo cáo hoặc đã gửi báo cáo nhưng để trống ô số liệu</t>
  </si>
  <si>
    <t>Ô có dâu "-"</t>
  </si>
  <si>
    <t>Số liệu  bằng 0</t>
  </si>
  <si>
    <t>Kết quả đánh giá tác động quy định TTHC</t>
  </si>
  <si>
    <t>Kết quả thẩm định về TTHC quy định trong dự thảo VBQPPL</t>
  </si>
  <si>
    <t xml:space="preserve">Số TTHC được thẩm định (TTHC) </t>
  </si>
  <si>
    <t>Bộ Giáo dục và Đào tạo</t>
  </si>
  <si>
    <t>Tổng số vụ việc tiếp nhận hòa giải</t>
  </si>
  <si>
    <r>
      <t xml:space="preserve">Tổng số tổ chức bán đấu giá chuyên nghiệp là </t>
    </r>
    <r>
      <rPr>
        <b/>
        <i/>
        <sz val="10"/>
        <rFont val="Arial"/>
        <family val="2"/>
      </rPr>
      <t xml:space="preserve">253 </t>
    </r>
    <r>
      <rPr>
        <i/>
        <sz val="10"/>
        <rFont val="Arial"/>
        <family val="2"/>
      </rPr>
      <t xml:space="preserve">tổ chức (Số thống kê </t>
    </r>
    <r>
      <rPr>
        <b/>
        <i/>
        <sz val="10"/>
        <rFont val="Arial"/>
        <family val="2"/>
      </rPr>
      <t xml:space="preserve">322 </t>
    </r>
    <r>
      <rPr>
        <i/>
        <sz val="10"/>
        <rFont val="Arial"/>
        <family val="2"/>
      </rPr>
      <t>tổ chức là do các địa phương tính cả văn phòng đại diện, chi nhánh BĐGTS của địa phương mình đang hoạt động tại địa phương khác)</t>
    </r>
  </si>
  <si>
    <t>Số liệu cột (1) là Bộ ước tính theo phương pháp chuyên môn thống kê, kết hợp phân tích báo cáo của địa phương</t>
  </si>
  <si>
    <r>
      <t xml:space="preserve">Số vụ việc đã thụ lý 
</t>
    </r>
    <r>
      <rPr>
        <i/>
        <sz val="12"/>
        <rFont val="Times New Roman"/>
        <family val="1"/>
      </rPr>
      <t>(Vụ việc)</t>
    </r>
  </si>
  <si>
    <t>Bộ Kế hoạch và Đầu tư</t>
  </si>
  <si>
    <t>Bộ Khoa học và Công nghệ</t>
  </si>
  <si>
    <t>Bộ Tài chính</t>
  </si>
  <si>
    <t>Bộ Tài nguyên và Môi trường</t>
  </si>
  <si>
    <t>Bộ Thông tin và Truyền thông</t>
  </si>
  <si>
    <t>Bộ Y tế</t>
  </si>
  <si>
    <t>Thanh tra Chính phủ</t>
  </si>
  <si>
    <t>Bình Phước</t>
  </si>
  <si>
    <t>Bình Thuận</t>
  </si>
  <si>
    <t>Cà Mau</t>
  </si>
  <si>
    <t>Cần Thơ</t>
  </si>
  <si>
    <t>Cao Bằng</t>
  </si>
  <si>
    <t>Đà Nẵng</t>
  </si>
  <si>
    <t>Đắk Lắk</t>
  </si>
  <si>
    <t>Đắk Nông</t>
  </si>
  <si>
    <t>Điện Biên</t>
  </si>
  <si>
    <t>Đồng Nai</t>
  </si>
  <si>
    <t>Đồng Tháp</t>
  </si>
  <si>
    <t>Gia Lai</t>
  </si>
  <si>
    <t>Hà Giang</t>
  </si>
  <si>
    <t>Hà Nam</t>
  </si>
  <si>
    <t>Hà Nội</t>
  </si>
  <si>
    <t>Hà Tĩnh</t>
  </si>
  <si>
    <t>Hải Dương</t>
  </si>
  <si>
    <t>Hải Phòng</t>
  </si>
  <si>
    <t>Hậu Giang</t>
  </si>
  <si>
    <t>Hoà Bình</t>
  </si>
  <si>
    <t>Hưng Yên</t>
  </si>
  <si>
    <t>Khánh Hoà</t>
  </si>
  <si>
    <t>Kiên Giang</t>
  </si>
  <si>
    <t>Kon Tum</t>
  </si>
  <si>
    <t>Lai Châu</t>
  </si>
  <si>
    <t>Lâm Đồng</t>
  </si>
  <si>
    <t>Lạng Sơn</t>
  </si>
  <si>
    <t>Lào Cai</t>
  </si>
  <si>
    <t>Long An</t>
  </si>
  <si>
    <t>Nam Định</t>
  </si>
  <si>
    <t>Nghệ An</t>
  </si>
  <si>
    <t xml:space="preserve">Ninh Bình </t>
  </si>
  <si>
    <t>Ninh Thuận</t>
  </si>
  <si>
    <t>Phú Thọ</t>
  </si>
  <si>
    <t>Phú Yên</t>
  </si>
  <si>
    <t>Quảng Bình</t>
  </si>
  <si>
    <t>Quảng Nam</t>
  </si>
  <si>
    <t>Quảng Ngãi</t>
  </si>
  <si>
    <t>Quảng Ninh</t>
  </si>
  <si>
    <t>Quảng Trị</t>
  </si>
  <si>
    <t>Sóc Trăng</t>
  </si>
  <si>
    <t>Sơn La</t>
  </si>
  <si>
    <t>Tây Ninh</t>
  </si>
  <si>
    <t>Thái Bình</t>
  </si>
  <si>
    <t>Thái Nguyên</t>
  </si>
  <si>
    <t>Thanh Hoá</t>
  </si>
  <si>
    <t>Thừa Thiên Huế</t>
  </si>
  <si>
    <t>Tiền Giang</t>
  </si>
  <si>
    <t>TP.Hồ Chí Minh</t>
  </si>
  <si>
    <t>Trà Vinh</t>
  </si>
  <si>
    <t>Tuyên Quang</t>
  </si>
  <si>
    <t>Vĩnh Long</t>
  </si>
  <si>
    <t>Vĩnh Phúc</t>
  </si>
  <si>
    <t>Yên Bái</t>
  </si>
  <si>
    <t xml:space="preserve">Số thủ tục hành chính (TTHC), văn bản quy phạm pháp luật (VBQPPL) có chứa TTHC được công bố   </t>
  </si>
  <si>
    <t>Số thủ tục hành chính (TTHC), văn bản quy phạm pháp luật (VBQPPL) đề nghị công khai</t>
  </si>
  <si>
    <t>Đơn vị tính: Số phản ánh, kiến nghị (PAKN)</t>
  </si>
  <si>
    <t>Số tổng và số chi tiết không khớp, tổng số văn bản trái pháp luật là 26 nhưng số chi tiết là 1</t>
  </si>
  <si>
    <t>Kết quả tiếp nhận phản ánh, kiến nghị (PAKN) 
về quy định hành chính</t>
  </si>
  <si>
    <t>Kết quả xử lý PAKN về quy định hành chính</t>
  </si>
  <si>
    <t>Tổng số PAKN về hành vi hành chính, quy định hành chính được tiếp nhận</t>
  </si>
  <si>
    <t>Thông tin nhận được về kết quả xử lý PAKN</t>
  </si>
  <si>
    <t>Đăng tải công khai kết quả xử lý</t>
  </si>
  <si>
    <t>Số PAKN thuộc thẩm quyền từ kỳ trước chuyển qua 
(Số thực hiện 4 tháng trong kỳ báo cáo)</t>
  </si>
  <si>
    <t>Số PAKN mới tiếp nhận trong kỳ báo cáo thuộc thẩm quyền xử lý
(Số thực hiện 4 tháng trong kỳ báo cáo)</t>
  </si>
  <si>
    <t>Đã xử lý</t>
  </si>
  <si>
    <t>Đang xử lý</t>
  </si>
  <si>
    <t xml:space="preserve">Đơn vị chưa gửi báo cáo thống kê </t>
  </si>
  <si>
    <t>số liệu  có điểm bất hợp lý cần kiểm tra tính chính xác</t>
  </si>
  <si>
    <t>Biểu mẫu số 5</t>
  </si>
  <si>
    <t>Tổng số PAKN về hành vi hành chính, quy định hành chính được xử lý</t>
  </si>
  <si>
    <t>Số VBQPPL có quy định về TTHC 
đã được ban hành</t>
  </si>
  <si>
    <r>
      <t>Kết quả đánh giá tác động TTHC 
trong dự thảo VBQPPL</t>
    </r>
    <r>
      <rPr>
        <sz val="12"/>
        <rFont val="Times New Roman"/>
        <family val="1"/>
      </rPr>
      <t xml:space="preserve"> </t>
    </r>
    <r>
      <rPr>
        <i/>
        <sz val="12"/>
        <rFont val="Times New Roman"/>
        <family val="1"/>
      </rPr>
      <t xml:space="preserve"> </t>
    </r>
  </si>
  <si>
    <t>Biểu mẫu số 4</t>
  </si>
  <si>
    <t>Số thủ tục hành chính
(TTHC)</t>
  </si>
  <si>
    <t>Số văn bản QPPL
(Văn bản)</t>
  </si>
  <si>
    <t>Số dự thảo VBQPPL có quy định về TTHC được thẩm định 
(Văn bản)</t>
  </si>
  <si>
    <r>
      <t xml:space="preserve">Số VBQPPL
</t>
    </r>
    <r>
      <rPr>
        <i/>
        <sz val="12"/>
        <rFont val="Times New Roman"/>
        <family val="1"/>
      </rPr>
      <t>(Văn bản)</t>
    </r>
  </si>
  <si>
    <r>
      <t xml:space="preserve">Số TTHC
</t>
    </r>
    <r>
      <rPr>
        <i/>
        <sz val="12"/>
        <rFont val="Times New Roman"/>
        <family val="1"/>
      </rPr>
      <t>(TTHC)</t>
    </r>
  </si>
  <si>
    <r>
      <t xml:space="preserve">Số TTHC ban hành mới hoặc sửa đổi, bổ sung đề nghị công khai </t>
    </r>
    <r>
      <rPr>
        <i/>
        <sz val="12"/>
        <rFont val="Times New Roman"/>
        <family val="1"/>
      </rPr>
      <t>(TTHC)</t>
    </r>
  </si>
  <si>
    <r>
      <t xml:space="preserve">Số VBQPPL ban hành mới hoặc sửa đổi, bổ sung đề nghị công khai 
</t>
    </r>
    <r>
      <rPr>
        <i/>
        <sz val="12"/>
        <rFont val="Times New Roman"/>
        <family val="1"/>
      </rPr>
      <t>(Văn bản)</t>
    </r>
  </si>
  <si>
    <t>TỔNG HỢP SỐ LIỆU THỐNG KÊ VỀ KẾT QUẢ TRỢ GIÚP PHÁP LÝ</t>
  </si>
  <si>
    <r>
      <t xml:space="preserve">Số vụ việc trợ giúp pháp lý
</t>
    </r>
    <r>
      <rPr>
        <b/>
        <i/>
        <sz val="12"/>
        <rFont val="Times New Roman"/>
        <family val="1"/>
      </rPr>
      <t>(Vụ việc)</t>
    </r>
  </si>
  <si>
    <r>
      <t xml:space="preserve">Số lượt người được trợ giúp pháp lý
</t>
    </r>
    <r>
      <rPr>
        <b/>
        <i/>
        <sz val="12"/>
        <rFont val="Times New Roman"/>
        <family val="1"/>
      </rPr>
      <t>(Lượt người)</t>
    </r>
  </si>
  <si>
    <r>
      <t xml:space="preserve">Số kiến nghị trong hoạt động TGPL
</t>
    </r>
    <r>
      <rPr>
        <b/>
        <i/>
        <sz val="12"/>
        <rFont val="Times New Roman"/>
        <family val="1"/>
      </rPr>
      <t>(Kiến nghị)</t>
    </r>
  </si>
  <si>
    <t>Bộ Quốc phòng</t>
  </si>
  <si>
    <t>Ủy ban dân tộc</t>
  </si>
  <si>
    <t>An Giang</t>
  </si>
  <si>
    <t>Bà Rịa - V. Tàu</t>
  </si>
  <si>
    <t>Bắc Giang</t>
  </si>
  <si>
    <t>Bắc Kạn</t>
  </si>
  <si>
    <t>Bạc Liêu</t>
  </si>
  <si>
    <t>Bắc Ninh</t>
  </si>
  <si>
    <t>Bến Tre</t>
  </si>
  <si>
    <t>Bình Định</t>
  </si>
  <si>
    <t>Bình Dương</t>
  </si>
  <si>
    <t>I</t>
  </si>
  <si>
    <t>Tại Bộ Tư pháp</t>
  </si>
  <si>
    <t>II. Tại các Bộ, Ngành ở Trung ương</t>
  </si>
  <si>
    <t>III. Tại các địa phương</t>
  </si>
  <si>
    <t>TỔNG HỢP SỐ LIỆU THỐNG KÊ VỀ KẾT QuẢ KIỂM SOÁT THỦ TỤC HÀNH CHÍNH (Đánh giá tác động, thẩm định)</t>
  </si>
  <si>
    <t>TỔNG HỢP SỐ LIỆU THỐNG KÊ VỀ KẾT QUẢ KIỂM SOÁT THỦ TỤC HÀNH CHÍNH (được công bố, đề nghị công khai)</t>
  </si>
  <si>
    <t>TỔNG HỢP SỐ LIỆU THỐNG KÊ VỀ KẾT QUẢ KIỂM SOÁT THỦ TỤC HÀNH CHÍNH (Kết quả tiếp nhận, xử lý PAKN)</t>
  </si>
  <si>
    <t>Bộ Giao thông vận tải</t>
  </si>
  <si>
    <t>số tổng và chi tiết không khớp: tổng lượt người TGPL 1318, phân theo lĩnh vực pháp luật 659, phan theo hình thức TGPL 659</t>
  </si>
  <si>
    <t>số tổng và chi tiết không khớp: tổng lượt người TGPL 777, phân theo lĩnh vực pháp luật 43, phan theo hình thức TGPL 720</t>
  </si>
  <si>
    <t>Biểu 24c</t>
  </si>
  <si>
    <t>Ước tính tất cả các cột</t>
  </si>
  <si>
    <t>số tổng và chi tiết không khớp: tổng lượt người TGPL 1180, phân theo lĩnh vực pháp luật 1217, phan theo hình thức TGPL 1240</t>
  </si>
  <si>
    <t>số tổng và chi tiết không khớp: tổng lượt người TGPL 84, phân theo lĩnh vực pháp luật 84, phan theo hình thức TGPL 108</t>
  </si>
  <si>
    <t>số tổng và chi tiết không khớp: tổng lượt người TGPL116, phân theo lĩnh vực pháp luật 116, phan theo hình thức TGPL 130</t>
  </si>
  <si>
    <t>số tổng và chi tiết không khớp: tổng lượt người TGPL638, phân theo lĩnh vực pháp luật 114, phan theo hình thức TGPL 567</t>
  </si>
  <si>
    <t>người kiểm tra ko ký</t>
  </si>
  <si>
    <t>Biểu 25c</t>
  </si>
  <si>
    <t>số tổng và chi tiết không khớp: tổng số vụ việc tiếp nhận 1977, phân theo lĩnh vực TGPL 659, phan theo hình thức TGPL 659, phân theo địa điểm TGPL 659</t>
  </si>
  <si>
    <t>số tổng và chi tiết không khớp: tổng số vụ việc tiếp nhận 421, phân theo hình thức thụ lý 423, phan theo người thực hiện 421, phân theo kết quả TGPL 423</t>
  </si>
  <si>
    <t>số tổng và chi tiết không khớp: tổng số vụ việc tiếp nhận 384, phân theo lĩnh vực TGPL 384, phan theo hình thức TGPL 426, phân theo địa điểm TGPL 591; ước tính bao gồm cả số thực hiện: 378+189=567 .</t>
  </si>
  <si>
    <t>Bộ Công an</t>
  </si>
  <si>
    <t>Bộ Công Thương</t>
  </si>
  <si>
    <t>Bộ Lao động - Thương binh và Xã hội</t>
  </si>
  <si>
    <t>Bộ Ngoại giao</t>
  </si>
  <si>
    <t>Bộ Nội vụ</t>
  </si>
  <si>
    <t>Bộ Nông nghiệp và Phát triển nông thôn</t>
  </si>
  <si>
    <t>Bộ Tư pháp</t>
  </si>
  <si>
    <t>Bộ Văn hóa, Thể thao và Du lịch</t>
  </si>
  <si>
    <t>Bộ Xây dựng</t>
  </si>
  <si>
    <t>Ngân hàng Nhà nước Việt Nam</t>
  </si>
  <si>
    <t>Ủy ban Dân tộc</t>
  </si>
  <si>
    <t>Bảo hiểm xã hội Việt Nam</t>
  </si>
  <si>
    <t>Ngân hàng Chính sách xã hội</t>
  </si>
  <si>
    <t>Ngân hàng Phát triển Việt Nam</t>
  </si>
  <si>
    <t>Số liệu địa phương cộng tổng không khớp với số chi tiết</t>
  </si>
  <si>
    <t>(Số liệu cập nhật đến ngày 25/7/2014)</t>
  </si>
  <si>
    <t>Số liệu địa phương không ước, Bộ thực hiện ước theo công thức</t>
  </si>
  <si>
    <t>số tổng và chi tiết không khớp: tổng lượt người TGPL 384, phân theo lĩnh vực pháp luật 384, phan theo hình thức TGPL 426; Số ước tính 2 tháng lớn hơn số thực hiện 4 tháng?</t>
  </si>
  <si>
    <t xml:space="preserve">Không có vụ việc TGPL hoàn thành </t>
  </si>
  <si>
    <t>Tổng kết quả giải quyết (360) lớn hơn số thụ lý (285)</t>
  </si>
  <si>
    <t>Số vụ việc tiếp nhận là 15, số hoàn thành là 1 nhưng số chuyển kỳ sau, chuyên đi nơi khác để trống</t>
  </si>
  <si>
    <t>Biểu 26</t>
  </si>
  <si>
    <t>Tổng số kiến nghị là 427 nhưng số chi tiết bằng 0 và để trống</t>
  </si>
  <si>
    <t>Toàn bộ số việc tiếp nhận trong 4 tháng 119 việc để giải quyết nhưng không có vụ việc được báo cáo hoàn thành, không có vụ việc chuyển đi nơi khác, chuyển kỳ sau nhưng lại ước hoàn thành 338 việc. Số ước trong 2 tháng gấp 3 lần số thụ lý trong 4 tháng nhưng không có giải thích.</t>
  </si>
  <si>
    <t>số phản ảnh kiến nghị được xử lý lớn hơn số tiếp nhận</t>
  </si>
  <si>
    <t>không có phản ảnh kiến nghị được tiếp nhận nhưng lại có số PAKN được xử lý</t>
  </si>
  <si>
    <t>(Số liệu cập nhật đến ngày 11/7/2014)</t>
  </si>
  <si>
    <t>Biểu mẫu số 1</t>
  </si>
  <si>
    <t xml:space="preserve">TỔNG HỢP SỐ LIỆU THỐNG KÊ VỀ KẾT QUẢ XÂY DỰNG BAN HÀNH VĂN BẢN QUY PHẠM PHÁP LUẬT </t>
  </si>
  <si>
    <t>Số văn bản quy phạm pháp luật do BộTư pháp và các Bộ, Ngành chủ trì soạn thảo được ban hành</t>
  </si>
  <si>
    <t>So sánh với số liệu năm 2013</t>
  </si>
  <si>
    <t xml:space="preserve">Số văn bản quy phạm pháp luật (VBQPPL) của HĐND và UBND các cấp được ban hành </t>
  </si>
  <si>
    <t>Tổng số ước tính 6 tháng</t>
  </si>
  <si>
    <t>Số ước tính 02 tháng cuối kỳ báo cáo</t>
  </si>
  <si>
    <t>(/)</t>
  </si>
  <si>
    <t>(-)</t>
  </si>
  <si>
    <t>Ước tính tự động</t>
  </si>
  <si>
    <t>Chia theo tên VBQPPL</t>
  </si>
  <si>
    <t>Chia ra theo cấp thực hiện</t>
  </si>
  <si>
    <t>Luật, Nghị quyết của Quốc hội</t>
  </si>
  <si>
    <t>Pháp lệnh, Nghị quyết của UB TVQH</t>
  </si>
  <si>
    <t>Lệnh, Quyết định của Chủ tịch nước</t>
  </si>
  <si>
    <t>Nghị định của Chính phủ</t>
  </si>
  <si>
    <t>Quyết định của Thủ tướng Chính phủ</t>
  </si>
  <si>
    <t>Thông tư, TTLT</t>
  </si>
  <si>
    <t>cấp tỉnh</t>
  </si>
  <si>
    <t>cấp huyện</t>
  </si>
  <si>
    <t>cấp xã</t>
  </si>
  <si>
    <t>-</t>
  </si>
  <si>
    <t>II. Tại Bộ Tư pháp</t>
  </si>
  <si>
    <t>Vụ Pháp luật dân sự kinh tế</t>
  </si>
  <si>
    <t>Vụ Pháp luật hình sự hành chính</t>
  </si>
  <si>
    <t>Vụ Các vấn đề chung về xây dựng pháp luật</t>
  </si>
  <si>
    <t>Vụ Pháp luật Quốc tế</t>
  </si>
  <si>
    <t>Các đơn vị khác thuộc Bộ</t>
  </si>
  <si>
    <t>Bà Rịa - Vũng Tàu</t>
  </si>
  <si>
    <t>Số vb được ban hành 4 tháng đầu năm 2013 lớn hơn số văn bản chủ trì soạn thảo (vb chủ trì soạn thảo là 409 vb)</t>
  </si>
  <si>
    <t>Tổng số vb được ban hành 6 tháng đầu năm 2014 cao gấp 6.15 lần so với 6 tháng đầu năm 2013, cao hơn so với Hà Nội và thành phố HCM. Tổng số văn bản được ban hành cao, đề nghị kiểm tra lại số văn bản cấp huyện của Phù Cát (cấp huyện ban hành 672 văn bản QP</t>
  </si>
  <si>
    <t xml:space="preserve">Tổng số vb được ban hành 6 tháng đầu năm 2014 cao gấp 5.76 lần so với 6 tháng đầu năm 2013; Biểu 01c: số tổng và số chi tiết không khớp (số tổng của STP là 295). </t>
  </si>
  <si>
    <t>Thiếu toàn bộ số liệu cấp huyện và cấp xã</t>
  </si>
  <si>
    <t>biểu 01 c: Không cộng tổng số tại cấp xã, cấp huyện</t>
  </si>
  <si>
    <t>Cộng tổng sai (thiếu số liệu của cấp xã vào tổng số vb được ban hành toàn tỉnh)-STP cộng tổng số là 21 vb</t>
  </si>
  <si>
    <t>Hòa Bình</t>
  </si>
  <si>
    <t>Khánh Hòa</t>
  </si>
  <si>
    <t>Tổng số vb được ban hành 6 tháng đầu năm 2014 cao gấp 13 lần so với 6 tháng đầu năm 2013</t>
  </si>
  <si>
    <t>Cần xem lại tổng số hàng ngang, hàng dọc khớp với nhau. Cộng tổng số theo hàng ngang có kết quả là 2717 văn bản, cộng tổng theo hàng dọc có kết quả là 2746.</t>
  </si>
  <si>
    <t>Ninh Bình</t>
  </si>
  <si>
    <t>Tổng số vb được ban hành 6 tháng đầu năm 2014 cao gấp 7.26 lần so với 6 tháng đầu năm 2013</t>
  </si>
  <si>
    <t>Thanh Hóa</t>
  </si>
  <si>
    <t>TP. Hồ Chí Minh</t>
  </si>
  <si>
    <t>Cộng tổng sai (thiếu số liệu của cấp xã vào tổng số vb được ban hành toàn tỉnh</t>
  </si>
  <si>
    <t>Hưng Yên: Lập báo cáo thống kê sai thể thức</t>
  </si>
  <si>
    <t>Biểu mẫu số 2</t>
  </si>
  <si>
    <t xml:space="preserve">TỔNG HỢP SỐ LIỆU THỐNG KÊ VỀ KẾT QUẢ THẨM ĐỊNH VĂN BẢN QUY PHẠM PHÁP LUẬT </t>
  </si>
  <si>
    <t>Đơn vị tính: Văn bản</t>
  </si>
  <si>
    <t>Số văn bản quy phạm pháp luật do Bộ Tư pháp và các tổ chức pháp chế Bộ (Ngành) thẩm định</t>
  </si>
  <si>
    <t>So sánh với số liệu 2013</t>
  </si>
  <si>
    <t>Số VBQPPL do cơ quan tư pháp thẩm định</t>
  </si>
  <si>
    <t>Tổng số thực hiện 4 tháng trong kỳ báo cáo</t>
  </si>
  <si>
    <t>Số VBQPPL do Phòng Tư pháp thẩm định</t>
  </si>
  <si>
    <t>Số VBQPPL do Sở Tư pháp thẩm định</t>
  </si>
  <si>
    <t>Sở Tư pháp cần bổ sung số liệu bc thống kê của cấp huyện; số liệu chưa phản ánh tổng số toàn tỉnh</t>
  </si>
  <si>
    <t>Có thuyết minh rõ phần ước tính</t>
  </si>
  <si>
    <t>thuyết minh rõ phần ước tính, chia số liệu ước tính cấp tỉnh, số liệu ước tính cấp huyện</t>
  </si>
  <si>
    <t>Tuyên Quang: lập biểu thống kê về thẩm định văn bản chi tiết và có thuyết minh rõ phần ước tính căn cứ theo chương trình xây dựng VBQPPL</t>
  </si>
  <si>
    <t>Biểu mẫu số 9</t>
  </si>
  <si>
    <t>TỔNG HỢP SỐ LIỆU THỐNG KÊ VỀ KẾT QUẢ ĐĂNG KÝ KHAI SINH, KHAI TỬ</t>
  </si>
  <si>
    <t xml:space="preserve">    </t>
  </si>
  <si>
    <t>So sánh số liệu 6 tháng đầu năm 2013</t>
  </si>
  <si>
    <t>Đăng ký khai sinh trong nước</t>
  </si>
  <si>
    <t>So sánh số liệu năm 2013</t>
  </si>
  <si>
    <t>Đăng ký khai sinh có yếu tố nước ngoài</t>
  </si>
  <si>
    <t>Đăng ký khai tử trong nước</t>
  </si>
  <si>
    <t>Đăng ký khai tử có yếu tố nước ngoài</t>
  </si>
  <si>
    <t>Các trường hợp đăng ký mới</t>
  </si>
  <si>
    <t>Các trường hợp đăng ký lại</t>
  </si>
  <si>
    <t>Tổng số ước tính 06 tháng</t>
  </si>
  <si>
    <t>Số thực hiện 04 tháng trong kỳ báo cáo</t>
  </si>
  <si>
    <t>Không có số liệu đăng ký lại khai tử</t>
  </si>
  <si>
    <t>Biểu 13c thiếu đăng ký lại khai tử, không có số liệu ước tính</t>
  </si>
  <si>
    <t>Khong có số liệu đăng ký lại</t>
  </si>
  <si>
    <t>K ước tính</t>
  </si>
  <si>
    <t>13c: k có số liệu ước tính</t>
  </si>
  <si>
    <r>
      <t xml:space="preserve">KHAI SINH </t>
    </r>
    <r>
      <rPr>
        <b/>
        <i/>
        <sz val="10"/>
        <rFont val="Times New Roman"/>
        <family val="1"/>
      </rPr>
      <t>(Trường hợp)</t>
    </r>
  </si>
  <si>
    <r>
      <t xml:space="preserve">KHAI TỬ </t>
    </r>
    <r>
      <rPr>
        <b/>
        <i/>
        <sz val="10"/>
        <rFont val="Times New Roman"/>
        <family val="1"/>
      </rPr>
      <t>(Trường hợp)</t>
    </r>
  </si>
  <si>
    <t>Biểu mẫu số 10</t>
  </si>
  <si>
    <t>TỔNG HỢP SỐ LIỆU THỐNG KÊ VỀ KẾT QUẢ ĐĂNG KÝ KẾT HÔN, NUÔI CON NUÔI</t>
  </si>
  <si>
    <t>Số cuộc kết hôn trong nước</t>
  </si>
  <si>
    <t>Số cuộc kết hôn có yếu tố nước ngoài</t>
  </si>
  <si>
    <t>Số đăng ký nuôi con nuôi trong nước</t>
  </si>
  <si>
    <t>Số đăng ký nuôi con nuôi có yếu tố nước ngoài</t>
  </si>
  <si>
    <t>Các cặp đăng ký mới</t>
  </si>
  <si>
    <t>Các cặp đăng ký lại</t>
  </si>
  <si>
    <t>So sánh số liệu 2013</t>
  </si>
  <si>
    <t xml:space="preserve">Chia ra </t>
  </si>
  <si>
    <t>Trong đó: Số người kết hôn là công dân Việt Nam cư trú ở trong nước</t>
  </si>
  <si>
    <t>Chia theo tình trạng sức khoẻ của trẻ em</t>
  </si>
  <si>
    <t>Bình thường</t>
  </si>
  <si>
    <t>Trẻ em có nhu cầu đặc biệt</t>
  </si>
  <si>
    <t>Biểu 23c: Không có số chi tiết</t>
  </si>
  <si>
    <t>Biểu 13g: Số liệu không khớp giữa các phân tổ với nhau; 22 cuộc kết hôn mà có 71 người là công dân VN</t>
  </si>
  <si>
    <t>Biểu 22c không cộng tổng, biểu 23: có tổng, không có số chi tiết, ghi ký hiệu "x" vào biểu</t>
  </si>
  <si>
    <t xml:space="preserve">Tổng số là 13, chia theo độ tuổi là 13, chia theo tình trạng sức khỏe là 12, chia theo nơi cư trú là 10 </t>
  </si>
  <si>
    <t>Biểu 13c, 22c, 23: Không có số liệu ước tính</t>
  </si>
  <si>
    <t xml:space="preserve">Biểu 13c: Số ước tính 2 tháng cuối cao hơn số thực hiện 4 tháng </t>
  </si>
  <si>
    <t>Biểu 22c: Bỏ trống ước tính</t>
  </si>
  <si>
    <t>22c: Không ước tính</t>
  </si>
  <si>
    <t>Biểu 22c: Không ước tính</t>
  </si>
  <si>
    <r>
      <t xml:space="preserve">SỐ CUỘC KẾT HÔN </t>
    </r>
    <r>
      <rPr>
        <b/>
        <i/>
        <sz val="10"/>
        <rFont val="Times New Roman"/>
        <family val="1"/>
      </rPr>
      <t>(Cặp)</t>
    </r>
  </si>
  <si>
    <r>
      <t xml:space="preserve">SỐ CUỘC ĐĂNG KÝ CON NUÔI
</t>
    </r>
    <r>
      <rPr>
        <i/>
        <sz val="10"/>
        <rFont val="Times New Roman"/>
        <family val="1"/>
      </rPr>
      <t>(Người)</t>
    </r>
  </si>
  <si>
    <t>Biểu mẫu số 11</t>
  </si>
  <si>
    <t>TỔNG HỢP SỐ LIỆU THỐNG KÊ VỀ KẾT QUẢ CHỨNG THỰC</t>
  </si>
  <si>
    <t>Tự động</t>
  </si>
  <si>
    <t>So sánh số liệu 6 tháng năm2013</t>
  </si>
  <si>
    <t>2013 (-)</t>
  </si>
  <si>
    <t>Số liệu năm 2013</t>
  </si>
  <si>
    <t>Tổng 6 tháng đầu năm 2014</t>
  </si>
  <si>
    <t>Lệ phí chứng thực bản sao</t>
  </si>
  <si>
    <t>Lệ phí chứng thực về việc</t>
  </si>
  <si>
    <t>Tại địa bàn cả nước</t>
  </si>
  <si>
    <t>kiểm tra lại số lệ phí thu được</t>
  </si>
  <si>
    <t>Số bản sao thực hiện 4 tháng tăng hơn 6 lần so với 6 tháng đầu năm 2013</t>
  </si>
  <si>
    <t>Số liệu về việc và bản sao bằng nhau? kiểm tra lại số lệ phí thu được; thiếu toàn bộ số liệu thống kê chi tiết của cấp huyện (bc chỉ có số tổng)</t>
  </si>
  <si>
    <t>Số bản sao thực hiện 4 tháng gấp gần 3 lần so với 6 tháng đầu năm 2013</t>
  </si>
  <si>
    <t>Số bản sao thực hiện 4 tháng tăng gần 14 lần so với 6 tháng đầu năm 2013</t>
  </si>
  <si>
    <t>Số liệu bản sao thực hiện 4 tháng ít hơn 15 lần so với 6 tháng năm 2013
Số liệu ước tính 6 tháng ít hơn gần 10 lần so với 6 tháng năm 2013</t>
  </si>
  <si>
    <t>Số bản sao thực hiện 4 tháng tăng hơn 5 lần so với 6 tháng đầu năm 2013</t>
  </si>
  <si>
    <r>
      <t xml:space="preserve">Số việc chứng thực
</t>
    </r>
    <r>
      <rPr>
        <b/>
        <i/>
        <sz val="10"/>
        <rFont val="Times New Roman"/>
        <family val="1"/>
      </rPr>
      <t>(Việc)</t>
    </r>
  </si>
  <si>
    <r>
      <t xml:space="preserve">Số bản sao đã chứng thực </t>
    </r>
    <r>
      <rPr>
        <b/>
        <i/>
        <sz val="10"/>
        <rFont val="Times New Roman"/>
        <family val="1"/>
      </rPr>
      <t xml:space="preserve">
(Bản sao)</t>
    </r>
  </si>
  <si>
    <r>
      <t xml:space="preserve">Số lệ phí chứng thực thu được </t>
    </r>
    <r>
      <rPr>
        <b/>
        <i/>
        <sz val="10"/>
        <rFont val="Times New Roman"/>
        <family val="1"/>
      </rPr>
      <t>(Nghìn đồng)</t>
    </r>
  </si>
  <si>
    <t>Biểu mẫu số 7</t>
  </si>
  <si>
    <t>TỔNG HỢP SỐ LIỆU THỐNG KÊ VỀ KẾT QUẢ PHỔ BIẾN, GIÁO DỤC PHÁP LUẬT (PBGDPL)</t>
  </si>
  <si>
    <t>Hình thức tuyên truyền pháp luật (TTPL)</t>
  </si>
  <si>
    <t>Phổ biến pháp luật trực tiếp (PBPLTT)</t>
  </si>
  <si>
    <t xml:space="preserve">Thi tìm hiểu pháp luật </t>
  </si>
  <si>
    <t xml:space="preserve">Số ước tính 2 tháng cuối kỳ báo cáo </t>
  </si>
  <si>
    <t>cq báo cáo ko ước tính</t>
  </si>
  <si>
    <t>Bộ Công An</t>
  </si>
  <si>
    <t>Bộ Công thương</t>
  </si>
  <si>
    <t>Bộ Giáo dục và đào tạo</t>
  </si>
  <si>
    <t>Bộ Lao động, Thương binh và Xã hội</t>
  </si>
  <si>
    <t xml:space="preserve">Bộ Ngoại giao </t>
  </si>
  <si>
    <t xml:space="preserve">Bộ Nội vụ </t>
  </si>
  <si>
    <t>Bộ Nông nghiệp và Phát triển Nông thôn</t>
  </si>
  <si>
    <t xml:space="preserve">Bộ Tư pháp </t>
  </si>
  <si>
    <t xml:space="preserve">Bộ Văn hóa, Thể thao và Du lịch </t>
  </si>
  <si>
    <t xml:space="preserve">Bộ Xây dựng </t>
  </si>
  <si>
    <t xml:space="preserve">Ngân hàng Nhà nước Việt Nam </t>
  </si>
  <si>
    <t xml:space="preserve">II. Tại địa phương </t>
  </si>
  <si>
    <t>số tổng chưa đúng, số của đvị cột 1 là 217; cột 2 là 12.501</t>
  </si>
  <si>
    <t>tính tổng cột 6 biểu 10d chưa đúng</t>
  </si>
  <si>
    <t>Số chi tiết h. Vĩnh Cửu về TLPBGDPL không thống nhất dẫn đến sai số tổng cột 5 là 638.152; số lượt người của Tổng LĐLĐVN gần 2 triệu; Số tài liệu PBGDPL đã phát gấp hơn 7 lần số cùng kỳ 2013</t>
  </si>
  <si>
    <t>Số bản sao thực hiện 4 tháng gấp gần 3 lần so với 6 tháng đầu năm 2013, ước tính 6 tháng 2016 gấp 4 lần 2013 nhưng địa phương chưa có giải thích</t>
  </si>
  <si>
    <t xml:space="preserve">Tổng số vụ có văn bản giải quyết bồi thường theo quyết định của cơ quan hành chính và theo bản án, quyết định của Tòa án có tuyên bồi thường (Số thực hiện 4 tháng trong kỳ báo cáo) 
(Vụ việc)
= Cột (6+11) </t>
  </si>
  <si>
    <t xml:space="preserve">Tổng số ước tính 6 tháng về số vụ việc có văn bản giải quyết bồi thường  theo quyết định của cơ quan hành chính và số vụ việc có yêu cầu chi trả bồi thường theo bản án, quyết định của Tòa án có tuyên bồi thường được cơ quan hành chính nhà nước giải quyết Vụ việc)
= Cột (4+13) </t>
  </si>
</sst>
</file>

<file path=xl/styles.xml><?xml version="1.0" encoding="utf-8"?>
<styleSheet xmlns="http://schemas.openxmlformats.org/spreadsheetml/2006/main">
  <numFmts count="4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Red]0"/>
    <numFmt numFmtId="166" formatCode="\(0\)"/>
    <numFmt numFmtId="167" formatCode="0_);\(0\)"/>
    <numFmt numFmtId="168" formatCode="_(* #,##0.000_);_(* \(#,##0.000\);_(* &quot;-&quot;??_);_(@_)"/>
    <numFmt numFmtId="169" formatCode="&quot;Yes&quot;;&quot;Yes&quot;;&quot;No&quot;"/>
    <numFmt numFmtId="170" formatCode="&quot;True&quot;;&quot;True&quot;;&quot;False&quot;"/>
    <numFmt numFmtId="171" formatCode="&quot;On&quot;;&quot;On&quot;;&quot;Off&quot;"/>
    <numFmt numFmtId="172" formatCode="[$€-2]\ #,##0.00_);[Red]\([$€-2]\ #,##0.00\)"/>
    <numFmt numFmtId="173" formatCode="#,##0\ &quot;₫&quot;;\-#,##0\ &quot;₫&quot;"/>
    <numFmt numFmtId="174" formatCode="#,##0\ &quot;₫&quot;;[Red]\-#,##0\ &quot;₫&quot;"/>
    <numFmt numFmtId="175" formatCode="#,##0.00\ &quot;₫&quot;;\-#,##0.00\ &quot;₫&quot;"/>
    <numFmt numFmtId="176" formatCode="#,##0.00\ &quot;₫&quot;;[Red]\-#,##0.00\ &quot;₫&quot;"/>
    <numFmt numFmtId="177" formatCode="_-* #,##0\ &quot;₫&quot;_-;\-* #,##0\ &quot;₫&quot;_-;_-* &quot;-&quot;\ &quot;₫&quot;_-;_-@_-"/>
    <numFmt numFmtId="178" formatCode="_-* #,##0\ _₫_-;\-* #,##0\ _₫_-;_-* &quot;-&quot;\ _₫_-;_-@_-"/>
    <numFmt numFmtId="179" formatCode="_-* #,##0.00\ &quot;₫&quot;_-;\-* #,##0.00\ &quot;₫&quot;_-;_-* &quot;-&quot;??\ &quot;₫&quot;_-;_-@_-"/>
    <numFmt numFmtId="180" formatCode="_-* #,##0.00\ _₫_-;\-* #,##0.00\ _₫_-;_-* &quot;-&quot;??\ _₫_-;_-@_-"/>
    <numFmt numFmtId="181" formatCode="_(* #,##0.0_);_(* \(#,##0.0\);_(* &quot;-&quot;??_);_(@_)"/>
    <numFmt numFmtId="182" formatCode="#,##0;[Red]#,##0"/>
    <numFmt numFmtId="183" formatCode="#,##0.0;[Red]#,##0.0"/>
    <numFmt numFmtId="184" formatCode="0.0"/>
    <numFmt numFmtId="185" formatCode="0.0;[Red]0.0"/>
    <numFmt numFmtId="186" formatCode="_(* #,##0.0000_);_(* \(#,##0.0000\);_(* &quot;-&quot;??_);_(@_)"/>
    <numFmt numFmtId="187" formatCode="_(* #,##0.00000_);_(* \(#,##0.00000\);_(* &quot;-&quot;??_);_(@_)"/>
    <numFmt numFmtId="188" formatCode="_(* #,##0.000000_);_(* \(#,##0.000000\);_(* &quot;-&quot;??_);_(@_)"/>
    <numFmt numFmtId="189" formatCode="_(* #,##0.0000000_);_(* \(#,##0.0000000\);_(* &quot;-&quot;??_);_(@_)"/>
    <numFmt numFmtId="190" formatCode="_(* #,##0.00000000_);_(* \(#,##0.00000000\);_(* &quot;-&quot;??_);_(@_)"/>
    <numFmt numFmtId="191" formatCode="_(* #,##0.000000000_);_(* \(#,##0.000000000\);_(* &quot;-&quot;??_);_(@_)"/>
    <numFmt numFmtId="192" formatCode="_(* #,##0.0_);_(* \(#,##0.0\);_(* &quot;-&quot;?_);_(@_)"/>
    <numFmt numFmtId="193" formatCode="_-* #,##0.0\ _₫_-;\-* #,##0.0\ _₫_-;_-* &quot;-&quot;??\ _₫_-;_-@_-"/>
    <numFmt numFmtId="194" formatCode="_-* #,##0\ _₫_-;\-* #,##0\ _₫_-;_-* &quot;-&quot;??\ _₫_-;_-@_-"/>
    <numFmt numFmtId="195" formatCode="[$-409]dddd\,\ mmmm\ dd\,\ yyyy"/>
    <numFmt numFmtId="196" formatCode="[$-409]h:mm:ss\ AM/PM"/>
    <numFmt numFmtId="197" formatCode="0.00;[Red]0.00"/>
    <numFmt numFmtId="198" formatCode="_-* #,##0.0\ _₫_-;\-* #,##0.0\ _₫_-;_-* &quot;-&quot;?\ _₫_-;_-@_-"/>
  </numFmts>
  <fonts count="98">
    <font>
      <sz val="10"/>
      <name val="Arial"/>
      <family val="2"/>
    </font>
    <font>
      <sz val="11"/>
      <color indexed="8"/>
      <name val="Calibri"/>
      <family val="2"/>
    </font>
    <font>
      <b/>
      <sz val="13"/>
      <color indexed="8"/>
      <name val="Times New Roman"/>
      <family val="1"/>
    </font>
    <font>
      <sz val="10"/>
      <color indexed="8"/>
      <name val="Times New Roman"/>
      <family val="1"/>
    </font>
    <font>
      <b/>
      <sz val="14"/>
      <color indexed="8"/>
      <name val="Times New Roman"/>
      <family val="1"/>
    </font>
    <font>
      <i/>
      <sz val="14"/>
      <color indexed="8"/>
      <name val="Times New Roman"/>
      <family val="1"/>
    </font>
    <font>
      <i/>
      <sz val="12"/>
      <color indexed="8"/>
      <name val="Times New Roman"/>
      <family val="1"/>
    </font>
    <font>
      <i/>
      <sz val="10"/>
      <color indexed="8"/>
      <name val="Times New Roman"/>
      <family val="1"/>
    </font>
    <font>
      <b/>
      <sz val="10"/>
      <name val="Times New Roman"/>
      <family val="1"/>
    </font>
    <font>
      <b/>
      <sz val="10"/>
      <color indexed="8"/>
      <name val="Times New Roman"/>
      <family val="1"/>
    </font>
    <font>
      <sz val="10"/>
      <name val="Times New Roman"/>
      <family val="1"/>
    </font>
    <font>
      <b/>
      <sz val="12"/>
      <name val="Times New Roman"/>
      <family val="1"/>
    </font>
    <font>
      <b/>
      <i/>
      <sz val="12"/>
      <name val="Times New Roman"/>
      <family val="1"/>
    </font>
    <font>
      <sz val="12"/>
      <name val="Times New Roman"/>
      <family val="1"/>
    </font>
    <font>
      <sz val="10"/>
      <color indexed="10"/>
      <name val="Times New Roman"/>
      <family val="1"/>
    </font>
    <font>
      <sz val="11"/>
      <name val="Times New Roman"/>
      <family val="1"/>
    </font>
    <font>
      <b/>
      <sz val="12"/>
      <color indexed="8"/>
      <name val="Times New Roman"/>
      <family val="1"/>
    </font>
    <font>
      <sz val="14"/>
      <name val="Arial"/>
      <family val="2"/>
    </font>
    <font>
      <sz val="10"/>
      <color indexed="8"/>
      <name val="Arial"/>
      <family val="2"/>
    </font>
    <font>
      <sz val="12"/>
      <name val="Arial"/>
      <family val="2"/>
    </font>
    <font>
      <sz val="12"/>
      <color indexed="8"/>
      <name val="Arial"/>
      <family val="2"/>
    </font>
    <font>
      <sz val="10"/>
      <color indexed="10"/>
      <name val="Arial"/>
      <family val="2"/>
    </font>
    <font>
      <sz val="12"/>
      <color indexed="8"/>
      <name val="Times New Roman"/>
      <family val="1"/>
    </font>
    <font>
      <sz val="14"/>
      <color indexed="8"/>
      <name val="Arial"/>
      <family val="2"/>
    </font>
    <font>
      <i/>
      <sz val="12"/>
      <color indexed="8"/>
      <name val="Arial"/>
      <family val="2"/>
    </font>
    <font>
      <i/>
      <sz val="12"/>
      <name val="Times New Roman"/>
      <family val="1"/>
    </font>
    <font>
      <sz val="10"/>
      <color indexed="12"/>
      <name val="Arial"/>
      <family val="2"/>
    </font>
    <font>
      <sz val="12"/>
      <color indexed="12"/>
      <name val="Times New Roman"/>
      <family val="1"/>
    </font>
    <font>
      <sz val="12"/>
      <color indexed="10"/>
      <name val="Times New Roman"/>
      <family val="1"/>
    </font>
    <font>
      <sz val="8"/>
      <name val="Arial"/>
      <family val="2"/>
    </font>
    <font>
      <sz val="12"/>
      <color indexed="10"/>
      <name val="Arial"/>
      <family val="2"/>
    </font>
    <font>
      <u val="single"/>
      <sz val="10"/>
      <color indexed="20"/>
      <name val="Arial"/>
      <family val="2"/>
    </font>
    <font>
      <u val="single"/>
      <sz val="10"/>
      <color indexed="12"/>
      <name val="Arial"/>
      <family val="2"/>
    </font>
    <font>
      <b/>
      <sz val="9"/>
      <name val="Tahoma"/>
      <family val="2"/>
    </font>
    <font>
      <sz val="9"/>
      <name val="Tahoma"/>
      <family val="2"/>
    </font>
    <font>
      <sz val="14"/>
      <color indexed="8"/>
      <name val="Times New Roman"/>
      <family val="1"/>
    </font>
    <font>
      <b/>
      <sz val="13"/>
      <name val="Times New Roman"/>
      <family val="1"/>
    </font>
    <font>
      <sz val="13"/>
      <name val="Times New Roman"/>
      <family val="1"/>
    </font>
    <font>
      <sz val="13"/>
      <color indexed="8"/>
      <name val="Times New Roman"/>
      <family val="1"/>
    </font>
    <font>
      <sz val="10"/>
      <color indexed="12"/>
      <name val="Times New Roman"/>
      <family val="1"/>
    </font>
    <font>
      <i/>
      <sz val="13"/>
      <name val="Times New Roman"/>
      <family val="1"/>
    </font>
    <font>
      <sz val="14"/>
      <name val="Times New Roman"/>
      <family val="1"/>
    </font>
    <font>
      <b/>
      <sz val="14"/>
      <name val="Times New Roman"/>
      <family val="1"/>
    </font>
    <font>
      <b/>
      <i/>
      <sz val="10"/>
      <name val="Times New Roman"/>
      <family val="1"/>
    </font>
    <font>
      <i/>
      <sz val="10"/>
      <name val="Times New Roman"/>
      <family val="1"/>
    </font>
    <font>
      <b/>
      <sz val="11"/>
      <name val="Times New Roman"/>
      <family val="1"/>
    </font>
    <font>
      <b/>
      <sz val="9"/>
      <name val="Times New Roman"/>
      <family val="1"/>
    </font>
    <font>
      <sz val="13"/>
      <name val="Arial"/>
      <family val="2"/>
    </font>
    <font>
      <b/>
      <sz val="13"/>
      <name val="Arial"/>
      <family val="2"/>
    </font>
    <font>
      <b/>
      <sz val="10"/>
      <name val="Arial"/>
      <family val="2"/>
    </font>
    <font>
      <b/>
      <sz val="12"/>
      <name val="Arial"/>
      <family val="2"/>
    </font>
    <font>
      <sz val="7"/>
      <name val="Arial"/>
      <family val="2"/>
    </font>
    <font>
      <i/>
      <sz val="14"/>
      <name val="Times New Roman"/>
      <family val="1"/>
    </font>
    <font>
      <sz val="12"/>
      <color indexed="41"/>
      <name val="Times New Roman"/>
      <family val="1"/>
    </font>
    <font>
      <b/>
      <i/>
      <sz val="11"/>
      <name val="Times New Roman"/>
      <family val="1"/>
    </font>
    <font>
      <b/>
      <u val="single"/>
      <sz val="12"/>
      <name val="Times New Roman"/>
      <family val="1"/>
    </font>
    <font>
      <sz val="11"/>
      <name val="Arial"/>
      <family val="2"/>
    </font>
    <font>
      <b/>
      <i/>
      <sz val="9"/>
      <name val="Times New Roman"/>
      <family val="1"/>
    </font>
    <font>
      <b/>
      <i/>
      <sz val="14"/>
      <name val="Times New Roman"/>
      <family val="1"/>
    </font>
    <font>
      <sz val="14"/>
      <color indexed="10"/>
      <name val="Times New Roman"/>
      <family val="1"/>
    </font>
    <font>
      <sz val="14"/>
      <color indexed="12"/>
      <name val="Times New Roman"/>
      <family val="1"/>
    </font>
    <font>
      <i/>
      <sz val="12"/>
      <name val="Arial"/>
      <family val="2"/>
    </font>
    <font>
      <b/>
      <i/>
      <sz val="10"/>
      <name val="Arial"/>
      <family val="2"/>
    </font>
    <font>
      <i/>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4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1"/>
        <bgColor indexed="64"/>
      </patternFill>
    </fill>
    <fill>
      <patternFill patternType="solid">
        <fgColor indexed="13"/>
        <bgColor indexed="64"/>
      </patternFill>
    </fill>
    <fill>
      <patternFill patternType="solid">
        <fgColor indexed="10"/>
        <bgColor indexed="64"/>
      </patternFill>
    </fill>
    <fill>
      <patternFill patternType="solid">
        <fgColor indexed="43"/>
        <bgColor indexed="64"/>
      </patternFill>
    </fill>
    <fill>
      <patternFill patternType="solid">
        <fgColor indexed="53"/>
        <bgColor indexed="64"/>
      </patternFill>
    </fill>
    <fill>
      <patternFill patternType="solid">
        <fgColor indexed="30"/>
        <bgColor indexed="64"/>
      </patternFill>
    </fill>
    <fill>
      <patternFill patternType="solid">
        <fgColor indexed="27"/>
        <bgColor indexed="64"/>
      </patternFill>
    </fill>
    <fill>
      <patternFill patternType="solid">
        <fgColor indexed="50"/>
        <bgColor indexed="64"/>
      </patternFill>
    </fill>
    <fill>
      <patternFill patternType="solid">
        <fgColor indexed="4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style="thin"/>
      <bottom>
        <color indexed="63"/>
      </bottom>
    </border>
    <border>
      <left>
        <color indexed="63"/>
      </left>
      <right style="thin"/>
      <top style="thin"/>
      <bottom>
        <color indexed="63"/>
      </bottom>
    </border>
    <border>
      <left style="thin"/>
      <right style="thin"/>
      <top>
        <color indexed="63"/>
      </top>
      <bottom>
        <color indexed="63"/>
      </botto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0" fillId="2" borderId="0" applyNumberFormat="0" applyBorder="0" applyAlignment="0" applyProtection="0"/>
    <xf numFmtId="0" fontId="80" fillId="3" borderId="0" applyNumberFormat="0" applyBorder="0" applyAlignment="0" applyProtection="0"/>
    <xf numFmtId="0" fontId="80" fillId="4" borderId="0" applyNumberFormat="0" applyBorder="0" applyAlignment="0" applyProtection="0"/>
    <xf numFmtId="0" fontId="80" fillId="5" borderId="0" applyNumberFormat="0" applyBorder="0" applyAlignment="0" applyProtection="0"/>
    <xf numFmtId="0" fontId="80" fillId="6" borderId="0" applyNumberFormat="0" applyBorder="0" applyAlignment="0" applyProtection="0"/>
    <xf numFmtId="0" fontId="80" fillId="7" borderId="0" applyNumberFormat="0" applyBorder="0" applyAlignment="0" applyProtection="0"/>
    <xf numFmtId="0" fontId="80" fillId="8" borderId="0" applyNumberFormat="0" applyBorder="0" applyAlignment="0" applyProtection="0"/>
    <xf numFmtId="0" fontId="80" fillId="9" borderId="0" applyNumberFormat="0" applyBorder="0" applyAlignment="0" applyProtection="0"/>
    <xf numFmtId="0" fontId="80" fillId="10" borderId="0" applyNumberFormat="0" applyBorder="0" applyAlignment="0" applyProtection="0"/>
    <xf numFmtId="0" fontId="80" fillId="11" borderId="0" applyNumberFormat="0" applyBorder="0" applyAlignment="0" applyProtection="0"/>
    <xf numFmtId="0" fontId="80" fillId="12" borderId="0" applyNumberFormat="0" applyBorder="0" applyAlignment="0" applyProtection="0"/>
    <xf numFmtId="0" fontId="80" fillId="13" borderId="0" applyNumberFormat="0" applyBorder="0" applyAlignment="0" applyProtection="0"/>
    <xf numFmtId="0" fontId="81" fillId="14" borderId="0" applyNumberFormat="0" applyBorder="0" applyAlignment="0" applyProtection="0"/>
    <xf numFmtId="0" fontId="81" fillId="15" borderId="0" applyNumberFormat="0" applyBorder="0" applyAlignment="0" applyProtection="0"/>
    <xf numFmtId="0" fontId="81" fillId="10" borderId="0" applyNumberFormat="0" applyBorder="0" applyAlignment="0" applyProtection="0"/>
    <xf numFmtId="0" fontId="81" fillId="16" borderId="0" applyNumberFormat="0" applyBorder="0" applyAlignment="0" applyProtection="0"/>
    <xf numFmtId="0" fontId="81" fillId="17" borderId="0" applyNumberFormat="0" applyBorder="0" applyAlignment="0" applyProtection="0"/>
    <xf numFmtId="0" fontId="81" fillId="18" borderId="0" applyNumberFormat="0" applyBorder="0" applyAlignment="0" applyProtection="0"/>
    <xf numFmtId="0" fontId="81" fillId="19" borderId="0" applyNumberFormat="0" applyBorder="0" applyAlignment="0" applyProtection="0"/>
    <xf numFmtId="0" fontId="81" fillId="20" borderId="0" applyNumberFormat="0" applyBorder="0" applyAlignment="0" applyProtection="0"/>
    <xf numFmtId="0" fontId="81" fillId="21" borderId="0" applyNumberFormat="0" applyBorder="0" applyAlignment="0" applyProtection="0"/>
    <xf numFmtId="0" fontId="81" fillId="22" borderId="0" applyNumberFormat="0" applyBorder="0" applyAlignment="0" applyProtection="0"/>
    <xf numFmtId="0" fontId="81" fillId="23" borderId="0" applyNumberFormat="0" applyBorder="0" applyAlignment="0" applyProtection="0"/>
    <xf numFmtId="0" fontId="81" fillId="24" borderId="0" applyNumberFormat="0" applyBorder="0" applyAlignment="0" applyProtection="0"/>
    <xf numFmtId="0" fontId="82" fillId="25" borderId="0" applyNumberFormat="0" applyBorder="0" applyAlignment="0" applyProtection="0"/>
    <xf numFmtId="0" fontId="83" fillId="26" borderId="1" applyNumberFormat="0" applyAlignment="0" applyProtection="0"/>
    <xf numFmtId="0" fontId="84" fillId="27" borderId="2" applyNumberFormat="0" applyAlignment="0" applyProtection="0"/>
    <xf numFmtId="43" fontId="0" fillId="0" borderId="0" applyFont="0" applyFill="0" applyBorder="0" applyAlignment="0" applyProtection="0"/>
    <xf numFmtId="41" fontId="1" fillId="0" borderId="0" applyFont="0" applyFill="0" applyBorder="0" applyAlignment="0" applyProtection="0"/>
    <xf numFmtId="0" fontId="0" fillId="0" borderId="0" applyFont="0" applyFill="0" applyBorder="0" applyAlignment="0" applyProtection="0"/>
    <xf numFmtId="180"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85" fillId="0" borderId="0" applyNumberFormat="0" applyFill="0" applyBorder="0" applyAlignment="0" applyProtection="0"/>
    <xf numFmtId="0" fontId="31" fillId="0" borderId="0" applyNumberFormat="0" applyFill="0" applyBorder="0" applyAlignment="0" applyProtection="0"/>
    <xf numFmtId="0" fontId="86" fillId="28" borderId="0" applyNumberFormat="0" applyBorder="0" applyAlignment="0" applyProtection="0"/>
    <xf numFmtId="0" fontId="87" fillId="0" borderId="3" applyNumberFormat="0" applyFill="0" applyAlignment="0" applyProtection="0"/>
    <xf numFmtId="0" fontId="88" fillId="0" borderId="4" applyNumberFormat="0" applyFill="0" applyAlignment="0" applyProtection="0"/>
    <xf numFmtId="0" fontId="89" fillId="0" borderId="5" applyNumberFormat="0" applyFill="0" applyAlignment="0" applyProtection="0"/>
    <xf numFmtId="0" fontId="89" fillId="0" borderId="0" applyNumberFormat="0" applyFill="0" applyBorder="0" applyAlignment="0" applyProtection="0"/>
    <xf numFmtId="0" fontId="32" fillId="0" borderId="0" applyNumberFormat="0" applyFill="0" applyBorder="0" applyAlignment="0" applyProtection="0"/>
    <xf numFmtId="0" fontId="90" fillId="29" borderId="1" applyNumberFormat="0" applyAlignment="0" applyProtection="0"/>
    <xf numFmtId="0" fontId="91" fillId="0" borderId="6" applyNumberFormat="0" applyFill="0" applyAlignment="0" applyProtection="0"/>
    <xf numFmtId="0" fontId="92" fillId="3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31" borderId="7" applyNumberFormat="0" applyFont="0" applyAlignment="0" applyProtection="0"/>
    <xf numFmtId="0" fontId="93" fillId="26" borderId="8" applyNumberFormat="0" applyAlignment="0" applyProtection="0"/>
    <xf numFmtId="9" fontId="1" fillId="0" borderId="0" applyFont="0" applyFill="0" applyBorder="0" applyAlignment="0" applyProtection="0"/>
    <xf numFmtId="0" fontId="94" fillId="0" borderId="0" applyNumberFormat="0" applyFill="0" applyBorder="0" applyAlignment="0" applyProtection="0"/>
    <xf numFmtId="0" fontId="95" fillId="0" borderId="9" applyNumberFormat="0" applyFill="0" applyAlignment="0" applyProtection="0"/>
    <xf numFmtId="0" fontId="96" fillId="0" borderId="0" applyNumberFormat="0" applyFill="0" applyBorder="0" applyAlignment="0" applyProtection="0"/>
  </cellStyleXfs>
  <cellXfs count="1269">
    <xf numFmtId="0" fontId="0" fillId="0" borderId="0" xfId="0" applyAlignment="1">
      <alignment/>
    </xf>
    <xf numFmtId="0" fontId="2" fillId="0" borderId="0" xfId="0" applyFont="1" applyFill="1" applyAlignment="1">
      <alignment vertical="top"/>
    </xf>
    <xf numFmtId="0" fontId="2" fillId="0" borderId="0" xfId="0" applyFont="1" applyFill="1" applyAlignment="1">
      <alignment horizontal="left" vertical="top"/>
    </xf>
    <xf numFmtId="164" fontId="2" fillId="0" borderId="0" xfId="42" applyNumberFormat="1" applyFont="1" applyFill="1" applyAlignment="1">
      <alignment horizontal="left" vertical="top"/>
    </xf>
    <xf numFmtId="0" fontId="3" fillId="0" borderId="0" xfId="0" applyFont="1" applyBorder="1" applyAlignment="1">
      <alignment/>
    </xf>
    <xf numFmtId="0" fontId="6" fillId="0" borderId="0" xfId="0" applyFont="1" applyFill="1" applyAlignment="1">
      <alignment/>
    </xf>
    <xf numFmtId="0" fontId="7" fillId="0" borderId="0" xfId="0" applyFont="1" applyFill="1" applyAlignment="1">
      <alignment/>
    </xf>
    <xf numFmtId="164" fontId="7" fillId="0" borderId="0" xfId="42" applyNumberFormat="1" applyFont="1" applyFill="1" applyAlignment="1">
      <alignment/>
    </xf>
    <xf numFmtId="164" fontId="13" fillId="0" borderId="10" xfId="42" applyNumberFormat="1" applyFont="1" applyFill="1" applyBorder="1" applyAlignment="1" quotePrefix="1">
      <alignment horizontal="right" vertical="center"/>
    </xf>
    <xf numFmtId="164" fontId="13" fillId="0" borderId="10" xfId="42" applyNumberFormat="1" applyFont="1" applyFill="1" applyBorder="1" applyAlignment="1">
      <alignment horizontal="right" vertical="center"/>
    </xf>
    <xf numFmtId="164" fontId="13" fillId="0" borderId="10" xfId="42" applyNumberFormat="1" applyFont="1" applyFill="1" applyBorder="1" applyAlignment="1">
      <alignment horizontal="right"/>
    </xf>
    <xf numFmtId="0" fontId="14" fillId="0" borderId="0" xfId="0" applyFont="1" applyFill="1" applyBorder="1" applyAlignment="1">
      <alignment/>
    </xf>
    <xf numFmtId="0" fontId="3" fillId="0" borderId="0" xfId="0" applyFont="1" applyAlignment="1">
      <alignment/>
    </xf>
    <xf numFmtId="0" fontId="0" fillId="0" borderId="0" xfId="0" applyFont="1" applyAlignment="1">
      <alignment/>
    </xf>
    <xf numFmtId="164" fontId="13" fillId="0" borderId="10" xfId="42" applyNumberFormat="1" applyFont="1" applyFill="1" applyBorder="1" applyAlignment="1">
      <alignment horizontal="right" vertical="center"/>
    </xf>
    <xf numFmtId="0" fontId="16" fillId="0" borderId="0" xfId="0" applyFont="1" applyFill="1" applyAlignment="1">
      <alignment vertical="top"/>
    </xf>
    <xf numFmtId="0" fontId="17" fillId="0" borderId="0" xfId="0" applyFont="1" applyFill="1" applyAlignment="1">
      <alignment/>
    </xf>
    <xf numFmtId="0" fontId="18" fillId="0" borderId="0" xfId="0" applyFont="1" applyBorder="1" applyAlignment="1">
      <alignment/>
    </xf>
    <xf numFmtId="0" fontId="19" fillId="0" borderId="0" xfId="0" applyFont="1" applyFill="1" applyAlignment="1">
      <alignment/>
    </xf>
    <xf numFmtId="0" fontId="20" fillId="0" borderId="0" xfId="0" applyFont="1" applyFill="1" applyAlignment="1">
      <alignment/>
    </xf>
    <xf numFmtId="0" fontId="16" fillId="0" borderId="0" xfId="0" applyFont="1" applyFill="1" applyAlignment="1">
      <alignment/>
    </xf>
    <xf numFmtId="0" fontId="9" fillId="0" borderId="0" xfId="0" applyFont="1" applyFill="1" applyAlignment="1">
      <alignment/>
    </xf>
    <xf numFmtId="0" fontId="21" fillId="0" borderId="0" xfId="0" applyFont="1" applyBorder="1" applyAlignment="1">
      <alignment/>
    </xf>
    <xf numFmtId="164" fontId="13" fillId="0" borderId="11" xfId="42" applyNumberFormat="1" applyFont="1" applyFill="1" applyBorder="1" applyAlignment="1">
      <alignment horizontal="right" vertical="center" wrapText="1"/>
    </xf>
    <xf numFmtId="0" fontId="18" fillId="0" borderId="0" xfId="0" applyFont="1" applyAlignment="1">
      <alignment/>
    </xf>
    <xf numFmtId="0" fontId="22" fillId="0" borderId="0" xfId="0" applyFont="1" applyFill="1" applyAlignment="1">
      <alignment/>
    </xf>
    <xf numFmtId="0" fontId="18" fillId="32" borderId="0" xfId="0" applyFont="1" applyFill="1" applyAlignment="1">
      <alignment/>
    </xf>
    <xf numFmtId="0" fontId="18" fillId="0" borderId="0" xfId="0" applyFont="1" applyFill="1" applyAlignment="1">
      <alignment/>
    </xf>
    <xf numFmtId="164" fontId="13" fillId="0" borderId="10" xfId="42" applyNumberFormat="1" applyFont="1" applyFill="1" applyBorder="1" applyAlignment="1">
      <alignment horizontal="right"/>
    </xf>
    <xf numFmtId="0" fontId="23" fillId="0" borderId="0" xfId="0" applyFont="1" applyFill="1" applyAlignment="1">
      <alignment/>
    </xf>
    <xf numFmtId="0" fontId="24" fillId="0" borderId="0" xfId="0" applyFont="1" applyFill="1" applyAlignment="1">
      <alignment/>
    </xf>
    <xf numFmtId="2" fontId="24" fillId="0" borderId="0" xfId="0" applyNumberFormat="1" applyFont="1" applyFill="1" applyAlignment="1">
      <alignment/>
    </xf>
    <xf numFmtId="0" fontId="25" fillId="0" borderId="0" xfId="0" applyFont="1" applyFill="1" applyAlignment="1">
      <alignment/>
    </xf>
    <xf numFmtId="0" fontId="24" fillId="0" borderId="0" xfId="0" applyFont="1" applyFill="1" applyAlignment="1">
      <alignment horizontal="center" vertical="center"/>
    </xf>
    <xf numFmtId="164" fontId="22" fillId="0" borderId="10" xfId="42" applyNumberFormat="1" applyFont="1" applyFill="1" applyBorder="1" applyAlignment="1">
      <alignment horizontal="right" vertical="center" wrapText="1"/>
    </xf>
    <xf numFmtId="1" fontId="10" fillId="0" borderId="0" xfId="0" applyNumberFormat="1" applyFont="1" applyFill="1" applyBorder="1" applyAlignment="1">
      <alignment horizontal="center" vertical="center"/>
    </xf>
    <xf numFmtId="0" fontId="10" fillId="0" borderId="0" xfId="0" applyFont="1" applyFill="1" applyBorder="1" applyAlignment="1">
      <alignment/>
    </xf>
    <xf numFmtId="1" fontId="14" fillId="0" borderId="0" xfId="0" applyNumberFormat="1" applyFont="1" applyFill="1" applyBorder="1" applyAlignment="1">
      <alignment horizontal="center" vertical="center"/>
    </xf>
    <xf numFmtId="0" fontId="21" fillId="0" borderId="0" xfId="0" applyFont="1" applyFill="1" applyBorder="1" applyAlignment="1">
      <alignment/>
    </xf>
    <xf numFmtId="0" fontId="26" fillId="0" borderId="0" xfId="0" applyFont="1" applyBorder="1" applyAlignment="1">
      <alignment/>
    </xf>
    <xf numFmtId="0" fontId="0" fillId="0" borderId="0" xfId="0" applyFont="1" applyBorder="1" applyAlignment="1">
      <alignment/>
    </xf>
    <xf numFmtId="164" fontId="18" fillId="0" borderId="0" xfId="42" applyNumberFormat="1" applyFont="1" applyAlignment="1">
      <alignment/>
    </xf>
    <xf numFmtId="0" fontId="10" fillId="0" borderId="0" xfId="0" applyFont="1" applyAlignment="1">
      <alignment wrapText="1"/>
    </xf>
    <xf numFmtId="164" fontId="13" fillId="0" borderId="10" xfId="42" applyNumberFormat="1" applyFont="1" applyFill="1" applyBorder="1" applyAlignment="1">
      <alignment vertical="top" wrapText="1"/>
    </xf>
    <xf numFmtId="164" fontId="13" fillId="0" borderId="10" xfId="42" applyNumberFormat="1" applyFont="1" applyFill="1" applyBorder="1" applyAlignment="1" quotePrefix="1">
      <alignment horizontal="right" vertical="center"/>
    </xf>
    <xf numFmtId="164" fontId="13" fillId="0" borderId="11" xfId="42" applyNumberFormat="1" applyFont="1" applyFill="1" applyBorder="1" applyAlignment="1">
      <alignment vertical="top" wrapText="1"/>
    </xf>
    <xf numFmtId="164" fontId="13" fillId="0" borderId="10" xfId="42" applyNumberFormat="1" applyFont="1" applyFill="1" applyBorder="1" applyAlignment="1">
      <alignment/>
    </xf>
    <xf numFmtId="164" fontId="13" fillId="0" borderId="11" xfId="42" applyNumberFormat="1" applyFont="1" applyFill="1" applyBorder="1" applyAlignment="1">
      <alignment horizontal="right" vertical="top" wrapText="1"/>
    </xf>
    <xf numFmtId="164" fontId="13" fillId="0" borderId="0" xfId="42" applyNumberFormat="1" applyFont="1" applyBorder="1" applyAlignment="1">
      <alignment/>
    </xf>
    <xf numFmtId="0" fontId="13" fillId="0" borderId="0" xfId="0" applyFont="1" applyBorder="1" applyAlignment="1">
      <alignment/>
    </xf>
    <xf numFmtId="0" fontId="13" fillId="0" borderId="0" xfId="0" applyFont="1" applyFill="1" applyAlignment="1">
      <alignment/>
    </xf>
    <xf numFmtId="0" fontId="27" fillId="0" borderId="0" xfId="0" applyFont="1" applyFill="1" applyBorder="1" applyAlignment="1">
      <alignment/>
    </xf>
    <xf numFmtId="0" fontId="25" fillId="0" borderId="0" xfId="0" applyFont="1" applyAlignment="1">
      <alignment horizontal="center"/>
    </xf>
    <xf numFmtId="0" fontId="25" fillId="0" borderId="0" xfId="0" applyFont="1" applyAlignment="1">
      <alignment horizontal="right"/>
    </xf>
    <xf numFmtId="164" fontId="13" fillId="0" borderId="11" xfId="42" applyNumberFormat="1" applyFont="1" applyFill="1" applyBorder="1" applyAlignment="1" quotePrefix="1">
      <alignment horizontal="right" vertical="center"/>
    </xf>
    <xf numFmtId="164" fontId="13" fillId="0" borderId="10" xfId="42" applyNumberFormat="1" applyFont="1" applyBorder="1" applyAlignment="1">
      <alignment/>
    </xf>
    <xf numFmtId="0" fontId="13" fillId="0" borderId="0" xfId="0" applyFont="1" applyAlignment="1">
      <alignment/>
    </xf>
    <xf numFmtId="165" fontId="13" fillId="0" borderId="10" xfId="0" applyNumberFormat="1" applyFont="1" applyFill="1" applyBorder="1" applyAlignment="1">
      <alignment horizontal="center" vertical="center" wrapText="1"/>
    </xf>
    <xf numFmtId="1" fontId="13" fillId="0" borderId="10" xfId="0" applyNumberFormat="1" applyFont="1" applyFill="1" applyBorder="1" applyAlignment="1">
      <alignment horizontal="center" vertical="center" wrapText="1"/>
    </xf>
    <xf numFmtId="0" fontId="13" fillId="0" borderId="10" xfId="60" applyFont="1" applyFill="1" applyBorder="1" applyAlignment="1">
      <alignment horizontal="center" wrapText="1"/>
      <protection/>
    </xf>
    <xf numFmtId="166" fontId="13" fillId="0" borderId="10" xfId="0" applyNumberFormat="1" applyFont="1" applyFill="1" applyBorder="1" applyAlignment="1">
      <alignment horizontal="center" vertical="center" wrapText="1"/>
    </xf>
    <xf numFmtId="0" fontId="20" fillId="0" borderId="0" xfId="0" applyFont="1" applyBorder="1" applyAlignment="1">
      <alignment/>
    </xf>
    <xf numFmtId="0" fontId="20" fillId="0" borderId="0" xfId="0" applyFont="1" applyFill="1" applyBorder="1" applyAlignment="1">
      <alignment/>
    </xf>
    <xf numFmtId="164" fontId="13" fillId="0" borderId="11" xfId="42" applyNumberFormat="1" applyFont="1" applyFill="1" applyBorder="1" applyAlignment="1">
      <alignment vertical="top" wrapText="1"/>
    </xf>
    <xf numFmtId="0" fontId="30" fillId="0" borderId="0" xfId="0" applyFont="1" applyFill="1" applyBorder="1" applyAlignment="1">
      <alignment/>
    </xf>
    <xf numFmtId="0" fontId="13" fillId="0" borderId="0" xfId="0" applyFont="1" applyAlignment="1">
      <alignment wrapText="1"/>
    </xf>
    <xf numFmtId="0" fontId="30" fillId="0" borderId="0" xfId="0" applyFont="1" applyBorder="1" applyAlignment="1">
      <alignment/>
    </xf>
    <xf numFmtId="0" fontId="13" fillId="0" borderId="10" xfId="60" applyFont="1" applyFill="1" applyBorder="1" applyAlignment="1">
      <alignment horizontal="center" vertical="center" wrapText="1"/>
      <protection/>
    </xf>
    <xf numFmtId="0" fontId="13" fillId="0" borderId="11" xfId="0" applyFont="1" applyFill="1" applyBorder="1" applyAlignment="1">
      <alignment horizontal="left" vertical="center" wrapText="1"/>
    </xf>
    <xf numFmtId="0" fontId="13" fillId="0" borderId="10" xfId="0" applyFont="1" applyFill="1" applyBorder="1" applyAlignment="1">
      <alignment wrapText="1"/>
    </xf>
    <xf numFmtId="0" fontId="13" fillId="0" borderId="10" xfId="0" applyFont="1" applyFill="1" applyBorder="1" applyAlignment="1" applyProtection="1">
      <alignment vertical="center" wrapText="1"/>
      <protection locked="0"/>
    </xf>
    <xf numFmtId="0" fontId="13" fillId="0" borderId="10" xfId="60" applyFont="1" applyFill="1" applyBorder="1" applyAlignment="1">
      <alignment/>
      <protection/>
    </xf>
    <xf numFmtId="0" fontId="22" fillId="0" borderId="0" xfId="0" applyFont="1" applyBorder="1" applyAlignment="1">
      <alignment/>
    </xf>
    <xf numFmtId="0" fontId="28" fillId="0" borderId="0" xfId="0" applyFont="1" applyBorder="1" applyAlignment="1">
      <alignment/>
    </xf>
    <xf numFmtId="164" fontId="13" fillId="0" borderId="10" xfId="42" applyNumberFormat="1" applyFont="1" applyFill="1" applyBorder="1" applyAlignment="1">
      <alignment horizontal="right" vertical="top" wrapText="1"/>
    </xf>
    <xf numFmtId="0" fontId="13" fillId="0" borderId="10" xfId="42" applyNumberFormat="1" applyFont="1" applyFill="1" applyBorder="1" applyAlignment="1">
      <alignment/>
    </xf>
    <xf numFmtId="0" fontId="13" fillId="0" borderId="10" xfId="42" applyNumberFormat="1" applyFont="1" applyFill="1" applyBorder="1" applyAlignment="1">
      <alignment horizontal="left"/>
    </xf>
    <xf numFmtId="0" fontId="13" fillId="0" borderId="10" xfId="60" applyFont="1" applyFill="1" applyBorder="1" applyAlignment="1">
      <alignment wrapText="1"/>
      <protection/>
    </xf>
    <xf numFmtId="0" fontId="13" fillId="0" borderId="10" xfId="42" applyNumberFormat="1" applyFont="1" applyFill="1" applyBorder="1" applyAlignment="1">
      <alignment wrapText="1"/>
    </xf>
    <xf numFmtId="0" fontId="13" fillId="0" borderId="10" xfId="42" applyNumberFormat="1" applyFont="1" applyFill="1" applyBorder="1" applyAlignment="1">
      <alignment horizontal="left" wrapText="1"/>
    </xf>
    <xf numFmtId="0" fontId="13" fillId="0" borderId="11" xfId="0" applyFont="1" applyFill="1" applyBorder="1" applyAlignment="1">
      <alignment vertical="center" wrapText="1"/>
    </xf>
    <xf numFmtId="0" fontId="13" fillId="0" borderId="12" xfId="0" applyFont="1" applyFill="1" applyBorder="1" applyAlignment="1">
      <alignment vertical="center" wrapText="1"/>
    </xf>
    <xf numFmtId="0" fontId="13" fillId="0" borderId="13" xfId="0" applyFont="1" applyFill="1" applyBorder="1" applyAlignment="1">
      <alignment vertical="center" wrapText="1"/>
    </xf>
    <xf numFmtId="0" fontId="11" fillId="33" borderId="10" xfId="42" applyNumberFormat="1" applyFont="1" applyFill="1" applyBorder="1" applyAlignment="1">
      <alignment vertical="center"/>
    </xf>
    <xf numFmtId="0" fontId="13" fillId="33" borderId="10" xfId="42" applyNumberFormat="1" applyFont="1" applyFill="1" applyBorder="1" applyAlignment="1">
      <alignment horizontal="right" vertical="top" wrapText="1"/>
    </xf>
    <xf numFmtId="0" fontId="12" fillId="33" borderId="10" xfId="42" applyNumberFormat="1" applyFont="1" applyFill="1" applyBorder="1" applyAlignment="1" applyProtection="1">
      <alignment horizontal="right" vertical="center" wrapText="1"/>
      <protection/>
    </xf>
    <xf numFmtId="0" fontId="22" fillId="0" borderId="0" xfId="0" applyFont="1" applyAlignment="1">
      <alignment/>
    </xf>
    <xf numFmtId="0" fontId="28" fillId="0" borderId="0" xfId="0" applyFont="1" applyFill="1" applyBorder="1" applyAlignment="1">
      <alignment/>
    </xf>
    <xf numFmtId="1" fontId="13" fillId="0" borderId="0" xfId="0" applyNumberFormat="1" applyFont="1" applyFill="1" applyBorder="1" applyAlignment="1">
      <alignment horizontal="center" vertical="center"/>
    </xf>
    <xf numFmtId="0" fontId="13" fillId="0" borderId="0" xfId="0" applyFont="1" applyFill="1" applyBorder="1" applyAlignment="1">
      <alignment/>
    </xf>
    <xf numFmtId="0" fontId="13" fillId="34" borderId="0" xfId="0" applyFont="1" applyFill="1" applyAlignment="1">
      <alignment/>
    </xf>
    <xf numFmtId="0" fontId="13" fillId="35" borderId="0" xfId="0" applyFont="1" applyFill="1" applyAlignment="1">
      <alignment/>
    </xf>
    <xf numFmtId="164" fontId="13" fillId="33" borderId="10" xfId="42" applyNumberFormat="1" applyFont="1" applyFill="1" applyBorder="1" applyAlignment="1">
      <alignment horizontal="right"/>
    </xf>
    <xf numFmtId="164" fontId="13" fillId="36" borderId="10" xfId="42" applyNumberFormat="1" applyFont="1" applyFill="1" applyBorder="1" applyAlignment="1">
      <alignment horizontal="right"/>
    </xf>
    <xf numFmtId="164" fontId="22" fillId="36" borderId="10" xfId="42" applyNumberFormat="1" applyFont="1" applyFill="1" applyBorder="1" applyAlignment="1">
      <alignment horizontal="right" vertical="center" wrapText="1"/>
    </xf>
    <xf numFmtId="0" fontId="13" fillId="0" borderId="10" xfId="0" applyFont="1" applyFill="1" applyBorder="1" applyAlignment="1">
      <alignment horizontal="center" vertical="center" wrapText="1"/>
    </xf>
    <xf numFmtId="0" fontId="30" fillId="0" borderId="0" xfId="0" applyFont="1" applyBorder="1" applyAlignment="1">
      <alignment horizontal="center" vertical="center"/>
    </xf>
    <xf numFmtId="164" fontId="13" fillId="33" borderId="10" xfId="42" applyNumberFormat="1" applyFont="1" applyFill="1" applyBorder="1" applyAlignment="1">
      <alignment horizontal="right" vertical="center"/>
    </xf>
    <xf numFmtId="164" fontId="13" fillId="32" borderId="10" xfId="42" applyNumberFormat="1" applyFont="1" applyFill="1" applyBorder="1" applyAlignment="1">
      <alignment horizontal="right"/>
    </xf>
    <xf numFmtId="0" fontId="13" fillId="35" borderId="10" xfId="0" applyFont="1" applyFill="1" applyBorder="1" applyAlignment="1">
      <alignment wrapText="1"/>
    </xf>
    <xf numFmtId="164" fontId="12" fillId="33" borderId="10" xfId="42" applyNumberFormat="1" applyFont="1" applyFill="1" applyBorder="1" applyAlignment="1" applyProtection="1">
      <alignment horizontal="right" vertical="center" wrapText="1"/>
      <protection/>
    </xf>
    <xf numFmtId="164" fontId="13" fillId="33" borderId="10" xfId="42" applyNumberFormat="1" applyFont="1" applyFill="1" applyBorder="1" applyAlignment="1">
      <alignment horizontal="right" vertical="top" wrapText="1"/>
    </xf>
    <xf numFmtId="164" fontId="13" fillId="33" borderId="10" xfId="42" applyNumberFormat="1" applyFont="1" applyFill="1" applyBorder="1" applyAlignment="1">
      <alignment vertical="center"/>
    </xf>
    <xf numFmtId="164" fontId="13" fillId="33" borderId="10" xfId="42" applyNumberFormat="1" applyFont="1" applyFill="1" applyBorder="1" applyAlignment="1">
      <alignment horizontal="right" vertical="center" wrapText="1"/>
    </xf>
    <xf numFmtId="164" fontId="13" fillId="33" borderId="10" xfId="42" applyNumberFormat="1" applyFont="1" applyFill="1" applyBorder="1" applyAlignment="1">
      <alignment horizontal="center" vertical="center" wrapText="1"/>
    </xf>
    <xf numFmtId="164" fontId="13" fillId="0" borderId="10" xfId="42" applyNumberFormat="1" applyFont="1" applyFill="1" applyBorder="1" applyAlignment="1">
      <alignment horizontal="center" vertical="center"/>
    </xf>
    <xf numFmtId="164" fontId="13" fillId="33" borderId="10" xfId="42" applyNumberFormat="1" applyFont="1" applyFill="1" applyBorder="1" applyAlignment="1">
      <alignment horizontal="center" vertical="center"/>
    </xf>
    <xf numFmtId="164" fontId="13" fillId="36" borderId="10" xfId="42" applyNumberFormat="1" applyFont="1" applyFill="1" applyBorder="1" applyAlignment="1">
      <alignment horizontal="right" vertical="top" wrapText="1"/>
    </xf>
    <xf numFmtId="164" fontId="13" fillId="36" borderId="10" xfId="42" applyNumberFormat="1" applyFont="1" applyFill="1" applyBorder="1" applyAlignment="1">
      <alignment vertical="center"/>
    </xf>
    <xf numFmtId="164" fontId="21" fillId="0" borderId="0" xfId="0" applyNumberFormat="1" applyFont="1" applyBorder="1" applyAlignment="1">
      <alignment/>
    </xf>
    <xf numFmtId="0" fontId="13" fillId="0" borderId="10" xfId="0" applyFont="1" applyFill="1" applyBorder="1" applyAlignment="1" applyProtection="1">
      <alignment horizontal="left" vertical="center" wrapText="1"/>
      <protection locked="0"/>
    </xf>
    <xf numFmtId="0" fontId="13" fillId="0" borderId="10" xfId="0" applyFont="1" applyFill="1" applyBorder="1" applyAlignment="1" applyProtection="1">
      <alignment horizontal="justify" vertical="center" wrapText="1"/>
      <protection locked="0"/>
    </xf>
    <xf numFmtId="0" fontId="13" fillId="0" borderId="10" xfId="59" applyFont="1" applyFill="1" applyBorder="1" applyAlignment="1" applyProtection="1">
      <alignment horizontal="justify" vertical="center"/>
      <protection locked="0"/>
    </xf>
    <xf numFmtId="0" fontId="13" fillId="0" borderId="10" xfId="0" applyFont="1" applyFill="1" applyBorder="1" applyAlignment="1">
      <alignment horizontal="justify" vertical="center" wrapText="1"/>
    </xf>
    <xf numFmtId="0" fontId="13" fillId="0" borderId="10" xfId="0" applyFont="1" applyFill="1" applyBorder="1" applyAlignment="1">
      <alignment horizontal="left"/>
    </xf>
    <xf numFmtId="0" fontId="13" fillId="0" borderId="10" xfId="0" applyFont="1" applyFill="1" applyBorder="1" applyAlignment="1">
      <alignment horizontal="center" vertical="center"/>
    </xf>
    <xf numFmtId="0" fontId="13" fillId="0" borderId="10" xfId="59" applyFont="1" applyFill="1" applyBorder="1" applyAlignment="1">
      <alignment horizontal="center"/>
      <protection/>
    </xf>
    <xf numFmtId="0" fontId="13" fillId="0" borderId="10" xfId="0" applyFont="1" applyFill="1" applyBorder="1" applyAlignment="1">
      <alignment horizontal="center" wrapText="1"/>
    </xf>
    <xf numFmtId="0" fontId="13" fillId="0" borderId="10" xfId="0" applyFont="1" applyFill="1" applyBorder="1" applyAlignment="1">
      <alignment horizontal="center"/>
    </xf>
    <xf numFmtId="0" fontId="13" fillId="0" borderId="10" xfId="59" applyFont="1" applyFill="1" applyBorder="1" applyAlignment="1" applyProtection="1">
      <alignment horizontal="left" vertical="center"/>
      <protection locked="0"/>
    </xf>
    <xf numFmtId="0" fontId="13" fillId="0" borderId="0" xfId="59" applyFont="1" applyFill="1">
      <alignment/>
      <protection/>
    </xf>
    <xf numFmtId="164" fontId="11" fillId="33" borderId="10" xfId="42" applyNumberFormat="1" applyFont="1" applyFill="1" applyBorder="1" applyAlignment="1">
      <alignment vertical="center"/>
    </xf>
    <xf numFmtId="164" fontId="13" fillId="0" borderId="10" xfId="42" applyNumberFormat="1" applyFont="1" applyFill="1" applyBorder="1" applyAlignment="1">
      <alignment horizontal="center" vertical="center"/>
    </xf>
    <xf numFmtId="164" fontId="13" fillId="0" borderId="10" xfId="42" applyNumberFormat="1" applyFont="1" applyBorder="1" applyAlignment="1">
      <alignment horizontal="center" vertical="center"/>
    </xf>
    <xf numFmtId="164" fontId="13" fillId="0" borderId="10" xfId="42" applyNumberFormat="1" applyFont="1" applyFill="1" applyBorder="1" applyAlignment="1">
      <alignment horizontal="center" vertical="center" wrapText="1"/>
    </xf>
    <xf numFmtId="164" fontId="13" fillId="0" borderId="14" xfId="42" applyNumberFormat="1" applyFont="1" applyFill="1" applyBorder="1" applyAlignment="1">
      <alignment horizontal="center" vertical="center"/>
    </xf>
    <xf numFmtId="164" fontId="22" fillId="0" borderId="10" xfId="42" applyNumberFormat="1" applyFont="1" applyBorder="1" applyAlignment="1">
      <alignment horizontal="center" vertical="center"/>
    </xf>
    <xf numFmtId="164" fontId="13" fillId="0" borderId="10" xfId="42" applyNumberFormat="1" applyFont="1" applyFill="1" applyBorder="1" applyAlignment="1">
      <alignment horizontal="center"/>
    </xf>
    <xf numFmtId="164" fontId="22" fillId="0" borderId="10" xfId="42" applyNumberFormat="1" applyFont="1" applyFill="1" applyBorder="1" applyAlignment="1">
      <alignment horizontal="center" vertical="center"/>
    </xf>
    <xf numFmtId="164" fontId="22" fillId="0" borderId="15" xfId="42" applyNumberFormat="1" applyFont="1" applyFill="1" applyBorder="1" applyAlignment="1">
      <alignment horizontal="center" vertical="center" wrapText="1"/>
    </xf>
    <xf numFmtId="164" fontId="22" fillId="0" borderId="14" xfId="42" applyNumberFormat="1" applyFont="1" applyFill="1" applyBorder="1" applyAlignment="1">
      <alignment horizontal="center" vertical="center" wrapText="1"/>
    </xf>
    <xf numFmtId="164" fontId="13" fillId="32" borderId="10" xfId="42" applyNumberFormat="1" applyFont="1" applyFill="1" applyBorder="1" applyAlignment="1">
      <alignment horizontal="center"/>
    </xf>
    <xf numFmtId="164" fontId="22" fillId="32" borderId="10" xfId="42" applyNumberFormat="1" applyFont="1" applyFill="1" applyBorder="1" applyAlignment="1">
      <alignment horizontal="center" vertical="center" wrapText="1"/>
    </xf>
    <xf numFmtId="164" fontId="22" fillId="32" borderId="10" xfId="42" applyNumberFormat="1" applyFont="1" applyFill="1" applyBorder="1" applyAlignment="1">
      <alignment horizontal="center" vertical="center"/>
    </xf>
    <xf numFmtId="164" fontId="13" fillId="32" borderId="10" xfId="42" applyNumberFormat="1" applyFont="1" applyFill="1" applyBorder="1" applyAlignment="1">
      <alignment horizontal="center" vertical="center"/>
    </xf>
    <xf numFmtId="164" fontId="13" fillId="32" borderId="13" xfId="42" applyNumberFormat="1" applyFont="1" applyFill="1" applyBorder="1" applyAlignment="1">
      <alignment horizontal="center" vertical="center"/>
    </xf>
    <xf numFmtId="164" fontId="13" fillId="0" borderId="13" xfId="42" applyNumberFormat="1" applyFont="1" applyBorder="1" applyAlignment="1">
      <alignment horizontal="center" vertical="center"/>
    </xf>
    <xf numFmtId="164" fontId="20" fillId="0" borderId="10" xfId="42" applyNumberFormat="1" applyFont="1" applyBorder="1" applyAlignment="1">
      <alignment/>
    </xf>
    <xf numFmtId="164" fontId="18" fillId="0" borderId="10" xfId="42" applyNumberFormat="1" applyFont="1" applyBorder="1" applyAlignment="1">
      <alignment/>
    </xf>
    <xf numFmtId="164" fontId="13" fillId="32" borderId="10" xfId="42" applyNumberFormat="1" applyFont="1" applyFill="1" applyBorder="1" applyAlignment="1">
      <alignment horizontal="center" wrapText="1"/>
    </xf>
    <xf numFmtId="164" fontId="13" fillId="0" borderId="11" xfId="42" applyNumberFormat="1" applyFont="1" applyFill="1" applyBorder="1" applyAlignment="1">
      <alignment horizontal="center" vertical="center"/>
    </xf>
    <xf numFmtId="164" fontId="13" fillId="32" borderId="11" xfId="42" applyNumberFormat="1" applyFont="1" applyFill="1" applyBorder="1" applyAlignment="1">
      <alignment horizontal="center"/>
    </xf>
    <xf numFmtId="0" fontId="0" fillId="5" borderId="0" xfId="59" applyFont="1" applyFill="1">
      <alignment/>
      <protection/>
    </xf>
    <xf numFmtId="0" fontId="3" fillId="37" borderId="0" xfId="0" applyFont="1" applyFill="1" applyAlignment="1">
      <alignment/>
    </xf>
    <xf numFmtId="164" fontId="13" fillId="5" borderId="10" xfId="42" applyNumberFormat="1" applyFont="1" applyFill="1" applyBorder="1" applyAlignment="1">
      <alignment horizontal="right"/>
    </xf>
    <xf numFmtId="164" fontId="13" fillId="37" borderId="10" xfId="42" applyNumberFormat="1" applyFont="1" applyFill="1" applyBorder="1" applyAlignment="1">
      <alignment horizontal="right"/>
    </xf>
    <xf numFmtId="164" fontId="22" fillId="5" borderId="10" xfId="42" applyNumberFormat="1" applyFont="1" applyFill="1" applyBorder="1" applyAlignment="1">
      <alignment horizontal="right" vertical="center" wrapText="1"/>
    </xf>
    <xf numFmtId="0" fontId="13" fillId="0" borderId="10" xfId="42" applyNumberFormat="1" applyFont="1" applyFill="1" applyBorder="1" applyAlignment="1">
      <alignment horizontal="right"/>
    </xf>
    <xf numFmtId="0" fontId="13" fillId="0" borderId="10" xfId="42" applyNumberFormat="1" applyFont="1" applyFill="1" applyBorder="1" applyAlignment="1">
      <alignment horizontal="right" vertical="center"/>
    </xf>
    <xf numFmtId="0" fontId="13" fillId="35" borderId="10" xfId="42" applyNumberFormat="1" applyFont="1" applyFill="1" applyBorder="1" applyAlignment="1">
      <alignment horizontal="right" vertical="center"/>
    </xf>
    <xf numFmtId="0" fontId="13" fillId="36" borderId="10" xfId="42" applyNumberFormat="1" applyFont="1" applyFill="1" applyBorder="1" applyAlignment="1">
      <alignment horizontal="right" vertical="center"/>
    </xf>
    <xf numFmtId="164" fontId="13" fillId="34" borderId="10" xfId="42" applyNumberFormat="1" applyFont="1" applyFill="1" applyBorder="1" applyAlignment="1">
      <alignment horizontal="right" vertical="top" wrapText="1"/>
    </xf>
    <xf numFmtId="164" fontId="13" fillId="33" borderId="10" xfId="42" applyNumberFormat="1" applyFont="1" applyFill="1" applyBorder="1" applyAlignment="1">
      <alignment horizontal="right" vertical="center"/>
    </xf>
    <xf numFmtId="164" fontId="13" fillId="33" borderId="10" xfId="42" applyNumberFormat="1" applyFont="1" applyFill="1" applyBorder="1" applyAlignment="1" quotePrefix="1">
      <alignment horizontal="right" vertical="center"/>
    </xf>
    <xf numFmtId="0" fontId="5" fillId="0" borderId="0" xfId="0" applyFont="1" applyFill="1" applyAlignment="1">
      <alignment horizontal="center"/>
    </xf>
    <xf numFmtId="0" fontId="4" fillId="0" borderId="0" xfId="0" applyFont="1" applyFill="1" applyAlignment="1">
      <alignment horizontal="center"/>
    </xf>
    <xf numFmtId="0" fontId="13" fillId="0" borderId="15" xfId="0" applyFont="1" applyFill="1" applyBorder="1" applyAlignment="1">
      <alignment horizontal="center" vertical="center" wrapText="1"/>
    </xf>
    <xf numFmtId="0" fontId="13" fillId="0" borderId="10" xfId="0" applyFont="1" applyBorder="1" applyAlignment="1">
      <alignment horizontal="center" vertical="center" wrapText="1"/>
    </xf>
    <xf numFmtId="0" fontId="8" fillId="0" borderId="10" xfId="0" applyFont="1" applyFill="1" applyBorder="1" applyAlignment="1">
      <alignment horizontal="center" vertical="center" wrapText="1"/>
    </xf>
    <xf numFmtId="0" fontId="13" fillId="0" borderId="16" xfId="0" applyFont="1" applyFill="1" applyBorder="1" applyAlignment="1">
      <alignment horizontal="center" vertical="center" wrapText="1"/>
    </xf>
    <xf numFmtId="0" fontId="11" fillId="0" borderId="10" xfId="60" applyFont="1" applyFill="1" applyBorder="1" applyAlignment="1">
      <alignment horizontal="left" wrapText="1"/>
      <protection/>
    </xf>
    <xf numFmtId="0" fontId="35" fillId="0" borderId="0" xfId="0" applyFont="1" applyFill="1" applyAlignment="1">
      <alignment/>
    </xf>
    <xf numFmtId="43" fontId="35" fillId="0" borderId="0" xfId="42" applyFont="1" applyFill="1" applyAlignment="1">
      <alignment/>
    </xf>
    <xf numFmtId="2" fontId="6" fillId="0" borderId="0" xfId="0" applyNumberFormat="1" applyFont="1" applyFill="1" applyAlignment="1">
      <alignment/>
    </xf>
    <xf numFmtId="0" fontId="6" fillId="0" borderId="0" xfId="0" applyFont="1" applyFill="1" applyAlignment="1">
      <alignment horizontal="center" vertical="center"/>
    </xf>
    <xf numFmtId="43" fontId="6" fillId="0" borderId="0" xfId="42" applyFont="1" applyFill="1" applyAlignment="1">
      <alignment horizontal="center" vertical="center"/>
    </xf>
    <xf numFmtId="0" fontId="10" fillId="0" borderId="0" xfId="0" applyFont="1" applyBorder="1" applyAlignment="1">
      <alignment/>
    </xf>
    <xf numFmtId="0" fontId="37" fillId="0" borderId="10" xfId="0" applyFont="1" applyFill="1" applyBorder="1" applyAlignment="1">
      <alignment horizontal="center" vertical="center" wrapText="1"/>
    </xf>
    <xf numFmtId="0" fontId="37" fillId="0" borderId="10" xfId="0" applyFont="1" applyBorder="1" applyAlignment="1">
      <alignment vertical="center"/>
    </xf>
    <xf numFmtId="166" fontId="37" fillId="0" borderId="10" xfId="0" applyNumberFormat="1" applyFont="1" applyFill="1" applyBorder="1" applyAlignment="1">
      <alignment horizontal="center" vertical="center" wrapText="1"/>
    </xf>
    <xf numFmtId="43" fontId="37" fillId="0" borderId="10" xfId="42" applyFont="1" applyFill="1" applyBorder="1" applyAlignment="1">
      <alignment horizontal="center" vertical="center" wrapText="1"/>
    </xf>
    <xf numFmtId="164" fontId="36" fillId="33" borderId="10" xfId="42" applyNumberFormat="1" applyFont="1" applyFill="1" applyBorder="1" applyAlignment="1">
      <alignment horizontal="right" vertical="center"/>
    </xf>
    <xf numFmtId="43" fontId="36" fillId="33" borderId="10" xfId="42" applyFont="1" applyFill="1" applyBorder="1" applyAlignment="1">
      <alignment horizontal="right" vertical="center"/>
    </xf>
    <xf numFmtId="164" fontId="36" fillId="0" borderId="10" xfId="42" applyNumberFormat="1" applyFont="1" applyFill="1" applyBorder="1" applyAlignment="1">
      <alignment horizontal="right" vertical="center"/>
    </xf>
    <xf numFmtId="164" fontId="36" fillId="33" borderId="10" xfId="42" applyNumberFormat="1" applyFont="1" applyFill="1" applyBorder="1" applyAlignment="1" applyProtection="1">
      <alignment horizontal="right" vertical="center" wrapText="1"/>
      <protection/>
    </xf>
    <xf numFmtId="43" fontId="36" fillId="33" borderId="10" xfId="42" applyFont="1" applyFill="1" applyBorder="1" applyAlignment="1" applyProtection="1">
      <alignment horizontal="right" vertical="center" wrapText="1"/>
      <protection/>
    </xf>
    <xf numFmtId="164" fontId="37" fillId="0" borderId="10" xfId="42" applyNumberFormat="1" applyFont="1" applyFill="1" applyBorder="1" applyAlignment="1">
      <alignment horizontal="right" vertical="center"/>
    </xf>
    <xf numFmtId="164" fontId="37" fillId="0" borderId="10" xfId="42" applyNumberFormat="1" applyFont="1" applyFill="1" applyBorder="1" applyAlignment="1" applyProtection="1">
      <alignment horizontal="justify" vertical="center" wrapText="1"/>
      <protection/>
    </xf>
    <xf numFmtId="43" fontId="37" fillId="0" borderId="10" xfId="42" applyFont="1" applyFill="1" applyBorder="1" applyAlignment="1" applyProtection="1">
      <alignment horizontal="justify" vertical="center" wrapText="1"/>
      <protection/>
    </xf>
    <xf numFmtId="164" fontId="37" fillId="0" borderId="10" xfId="42" applyNumberFormat="1" applyFont="1" applyFill="1" applyBorder="1" applyAlignment="1">
      <alignment horizontal="justify" vertical="center"/>
    </xf>
    <xf numFmtId="0" fontId="10" fillId="0" borderId="0" xfId="0" applyFont="1" applyBorder="1" applyAlignment="1">
      <alignment horizontal="justify" vertical="center"/>
    </xf>
    <xf numFmtId="0" fontId="3" fillId="0" borderId="0" xfId="0" applyFont="1" applyBorder="1" applyAlignment="1">
      <alignment horizontal="justify" vertical="center"/>
    </xf>
    <xf numFmtId="164" fontId="37" fillId="0" borderId="10" xfId="42" applyNumberFormat="1" applyFont="1" applyFill="1" applyBorder="1" applyAlignment="1" quotePrefix="1">
      <alignment horizontal="justify" vertical="center"/>
    </xf>
    <xf numFmtId="43" fontId="37" fillId="0" borderId="10" xfId="42" applyFont="1" applyFill="1" applyBorder="1" applyAlignment="1">
      <alignment horizontal="justify" vertical="center"/>
    </xf>
    <xf numFmtId="164" fontId="37" fillId="38" borderId="10" xfId="42" applyNumberFormat="1" applyFont="1" applyFill="1" applyBorder="1" applyAlignment="1">
      <alignment horizontal="justify" vertical="center"/>
    </xf>
    <xf numFmtId="0" fontId="14" fillId="0" borderId="0" xfId="0" applyFont="1" applyBorder="1" applyAlignment="1">
      <alignment horizontal="justify" vertical="center"/>
    </xf>
    <xf numFmtId="164" fontId="37" fillId="0" borderId="10" xfId="42" applyNumberFormat="1" applyFont="1" applyBorder="1" applyAlignment="1">
      <alignment horizontal="justify" vertical="center"/>
    </xf>
    <xf numFmtId="164" fontId="36" fillId="34" borderId="10" xfId="42" applyNumberFormat="1" applyFont="1" applyFill="1" applyBorder="1" applyAlignment="1">
      <alignment horizontal="right" vertical="center"/>
    </xf>
    <xf numFmtId="164" fontId="36" fillId="5" borderId="10" xfId="42" applyNumberFormat="1" applyFont="1" applyFill="1" applyBorder="1" applyAlignment="1">
      <alignment horizontal="right" vertical="center"/>
    </xf>
    <xf numFmtId="0" fontId="39" fillId="0" borderId="0" xfId="0" applyFont="1" applyBorder="1" applyAlignment="1">
      <alignment horizontal="justify" vertical="center"/>
    </xf>
    <xf numFmtId="164" fontId="37" fillId="37" borderId="10" xfId="42" applyNumberFormat="1" applyFont="1" applyFill="1" applyBorder="1" applyAlignment="1">
      <alignment horizontal="justify" vertical="center"/>
    </xf>
    <xf numFmtId="0" fontId="10" fillId="0" borderId="0" xfId="0" applyFont="1" applyFill="1" applyBorder="1" applyAlignment="1">
      <alignment horizontal="justify" vertical="center"/>
    </xf>
    <xf numFmtId="0" fontId="14" fillId="0" borderId="0" xfId="0" applyFont="1" applyFill="1" applyBorder="1" applyAlignment="1">
      <alignment horizontal="justify" vertical="center"/>
    </xf>
    <xf numFmtId="164" fontId="37" fillId="5" borderId="10" xfId="42" applyNumberFormat="1" applyFont="1" applyFill="1" applyBorder="1" applyAlignment="1">
      <alignment horizontal="justify" vertical="center"/>
    </xf>
    <xf numFmtId="43" fontId="13" fillId="0" borderId="0" xfId="42" applyFont="1" applyFill="1" applyAlignment="1">
      <alignment/>
    </xf>
    <xf numFmtId="0" fontId="19" fillId="0" borderId="0" xfId="59" applyFont="1" applyFill="1">
      <alignment/>
      <protection/>
    </xf>
    <xf numFmtId="164" fontId="3" fillId="0" borderId="0" xfId="42" applyNumberFormat="1" applyFont="1" applyAlignment="1">
      <alignment/>
    </xf>
    <xf numFmtId="43" fontId="3" fillId="0" borderId="0" xfId="42" applyFont="1" applyAlignment="1">
      <alignment/>
    </xf>
    <xf numFmtId="164" fontId="3" fillId="0" borderId="0" xfId="42" applyNumberFormat="1" applyFont="1" applyFill="1" applyAlignment="1">
      <alignment/>
    </xf>
    <xf numFmtId="0" fontId="3" fillId="0" borderId="0" xfId="0" applyFont="1" applyFill="1" applyAlignment="1">
      <alignment/>
    </xf>
    <xf numFmtId="0" fontId="36" fillId="0" borderId="0" xfId="0" applyFont="1" applyFill="1" applyAlignment="1">
      <alignment vertical="top"/>
    </xf>
    <xf numFmtId="0" fontId="36" fillId="0" borderId="0" xfId="0" applyFont="1" applyFill="1" applyAlignment="1">
      <alignment horizontal="left" vertical="top"/>
    </xf>
    <xf numFmtId="0" fontId="37" fillId="0" borderId="0" xfId="0" applyFont="1" applyFill="1" applyAlignment="1">
      <alignment/>
    </xf>
    <xf numFmtId="43" fontId="37" fillId="0" borderId="0" xfId="42" applyFont="1" applyFill="1" applyAlignment="1">
      <alignment/>
    </xf>
    <xf numFmtId="164" fontId="36" fillId="0" borderId="0" xfId="42" applyNumberFormat="1" applyFont="1" applyFill="1" applyAlignment="1">
      <alignment horizontal="left" vertical="top"/>
    </xf>
    <xf numFmtId="0" fontId="40" fillId="0" borderId="0" xfId="0" applyFont="1" applyFill="1" applyAlignment="1">
      <alignment/>
    </xf>
    <xf numFmtId="43" fontId="40" fillId="0" borderId="0" xfId="42" applyFont="1" applyFill="1" applyAlignment="1">
      <alignment/>
    </xf>
    <xf numFmtId="164" fontId="40" fillId="0" borderId="0" xfId="42" applyNumberFormat="1" applyFont="1" applyFill="1" applyAlignment="1">
      <alignment/>
    </xf>
    <xf numFmtId="0" fontId="37" fillId="0" borderId="0" xfId="0" applyFont="1" applyAlignment="1">
      <alignment/>
    </xf>
    <xf numFmtId="2" fontId="40" fillId="0" borderId="0" xfId="0" applyNumberFormat="1" applyFont="1" applyFill="1" applyAlignment="1">
      <alignment/>
    </xf>
    <xf numFmtId="0" fontId="40" fillId="0" borderId="0" xfId="0" applyFont="1" applyFill="1" applyAlignment="1">
      <alignment horizontal="center" vertical="center"/>
    </xf>
    <xf numFmtId="43" fontId="37" fillId="0" borderId="10" xfId="42" applyFont="1" applyFill="1" applyBorder="1" applyAlignment="1">
      <alignment horizontal="right" vertical="center"/>
    </xf>
    <xf numFmtId="164" fontId="37" fillId="0" borderId="10" xfId="42" applyNumberFormat="1" applyFont="1" applyBorder="1" applyAlignment="1">
      <alignment vertical="center"/>
    </xf>
    <xf numFmtId="164" fontId="37" fillId="0" borderId="10" xfId="42" applyNumberFormat="1" applyFont="1" applyFill="1" applyBorder="1" applyAlignment="1">
      <alignment vertical="center"/>
    </xf>
    <xf numFmtId="164" fontId="10" fillId="0" borderId="0" xfId="42" applyNumberFormat="1" applyFont="1" applyAlignment="1">
      <alignment/>
    </xf>
    <xf numFmtId="0" fontId="36" fillId="0" borderId="0" xfId="59" applyFont="1" applyFill="1" applyAlignment="1">
      <alignment vertical="top"/>
      <protection/>
    </xf>
    <xf numFmtId="164" fontId="36" fillId="0" borderId="0" xfId="42" applyNumberFormat="1" applyFont="1" applyFill="1" applyAlignment="1">
      <alignment vertical="top"/>
    </xf>
    <xf numFmtId="164" fontId="41" fillId="0" borderId="0" xfId="42" applyNumberFormat="1" applyFont="1" applyFill="1" applyAlignment="1">
      <alignment/>
    </xf>
    <xf numFmtId="43" fontId="41" fillId="0" borderId="0" xfId="42" applyFont="1" applyFill="1" applyAlignment="1">
      <alignment/>
    </xf>
    <xf numFmtId="0" fontId="42" fillId="0" borderId="0" xfId="59" applyFont="1" applyFill="1" applyAlignment="1">
      <alignment horizontal="center" vertical="center"/>
      <protection/>
    </xf>
    <xf numFmtId="0" fontId="42" fillId="0" borderId="0" xfId="59" applyFont="1" applyFill="1" applyAlignment="1">
      <alignment horizontal="center"/>
      <protection/>
    </xf>
    <xf numFmtId="164" fontId="42" fillId="0" borderId="0" xfId="42" applyNumberFormat="1" applyFont="1" applyFill="1" applyAlignment="1">
      <alignment horizontal="center"/>
    </xf>
    <xf numFmtId="43" fontId="42" fillId="0" borderId="0" xfId="42" applyFont="1" applyFill="1" applyAlignment="1">
      <alignment horizontal="center"/>
    </xf>
    <xf numFmtId="0" fontId="8" fillId="0" borderId="15" xfId="0" applyNumberFormat="1" applyFont="1" applyFill="1" applyBorder="1" applyAlignment="1">
      <alignment vertical="center" wrapText="1"/>
    </xf>
    <xf numFmtId="0" fontId="10" fillId="0" borderId="0" xfId="0" applyFont="1" applyAlignment="1">
      <alignment/>
    </xf>
    <xf numFmtId="0" fontId="8" fillId="0" borderId="17" xfId="0" applyNumberFormat="1" applyFont="1" applyFill="1" applyBorder="1" applyAlignment="1">
      <alignment vertical="center" wrapText="1"/>
    </xf>
    <xf numFmtId="0" fontId="8" fillId="0" borderId="17" xfId="0" applyNumberFormat="1" applyFont="1" applyFill="1" applyBorder="1" applyAlignment="1">
      <alignment horizontal="center" vertical="center" wrapText="1"/>
    </xf>
    <xf numFmtId="0" fontId="8" fillId="0" borderId="14" xfId="0" applyNumberFormat="1" applyFont="1" applyFill="1" applyBorder="1" applyAlignment="1">
      <alignment vertical="center" wrapText="1"/>
    </xf>
    <xf numFmtId="0" fontId="8" fillId="0" borderId="14" xfId="0" applyNumberFormat="1" applyFont="1" applyFill="1" applyBorder="1" applyAlignment="1">
      <alignment horizontal="center" vertical="center" wrapText="1"/>
    </xf>
    <xf numFmtId="164" fontId="10" fillId="0" borderId="10" xfId="42" applyNumberFormat="1" applyFont="1" applyFill="1" applyBorder="1" applyAlignment="1">
      <alignment horizontal="center" vertical="center" wrapText="1"/>
    </xf>
    <xf numFmtId="164" fontId="10" fillId="38" borderId="10" xfId="42" applyNumberFormat="1" applyFont="1" applyFill="1" applyBorder="1" applyAlignment="1">
      <alignment horizontal="center" vertical="center" wrapText="1"/>
    </xf>
    <xf numFmtId="43" fontId="8" fillId="0" borderId="17" xfId="42" applyFont="1" applyFill="1" applyBorder="1" applyAlignment="1">
      <alignment horizontal="center" vertical="center" wrapText="1"/>
    </xf>
    <xf numFmtId="164" fontId="10" fillId="0" borderId="15" xfId="42" applyNumberFormat="1" applyFont="1" applyFill="1" applyBorder="1" applyAlignment="1">
      <alignment vertical="center" wrapText="1"/>
    </xf>
    <xf numFmtId="43" fontId="10" fillId="0" borderId="15" xfId="42" applyFont="1" applyFill="1" applyBorder="1" applyAlignment="1">
      <alignment vertical="center" wrapText="1"/>
    </xf>
    <xf numFmtId="43" fontId="10" fillId="0" borderId="10" xfId="42" applyFont="1" applyFill="1" applyBorder="1" applyAlignment="1">
      <alignment horizontal="center" vertical="center" wrapText="1"/>
    </xf>
    <xf numFmtId="164" fontId="36" fillId="33" borderId="10" xfId="42" applyNumberFormat="1" applyFont="1" applyFill="1" applyBorder="1" applyAlignment="1">
      <alignment vertical="center" wrapText="1"/>
    </xf>
    <xf numFmtId="164" fontId="11" fillId="33" borderId="10" xfId="42" applyNumberFormat="1" applyFont="1" applyFill="1" applyBorder="1" applyAlignment="1">
      <alignment vertical="center" wrapText="1"/>
    </xf>
    <xf numFmtId="43" fontId="11" fillId="33" borderId="10" xfId="42" applyFont="1" applyFill="1" applyBorder="1" applyAlignment="1">
      <alignment vertical="center" wrapText="1"/>
    </xf>
    <xf numFmtId="0" fontId="10" fillId="0" borderId="10" xfId="60" applyNumberFormat="1" applyFont="1" applyFill="1" applyBorder="1" applyAlignment="1">
      <alignment horizontal="center" vertical="center" wrapText="1"/>
      <protection/>
    </xf>
    <xf numFmtId="0" fontId="38" fillId="0" borderId="10" xfId="0" applyNumberFormat="1" applyFont="1" applyBorder="1" applyAlignment="1">
      <alignment horizontal="justify" vertical="center"/>
    </xf>
    <xf numFmtId="164" fontId="37" fillId="33" borderId="10" xfId="42" applyNumberFormat="1" applyFont="1" applyFill="1" applyBorder="1" applyAlignment="1">
      <alignment vertical="center" wrapText="1"/>
    </xf>
    <xf numFmtId="164" fontId="37" fillId="0" borderId="10" xfId="42" applyNumberFormat="1" applyFont="1" applyFill="1" applyBorder="1" applyAlignment="1">
      <alignment vertical="center" wrapText="1"/>
    </xf>
    <xf numFmtId="164" fontId="37" fillId="38" borderId="10" xfId="42" applyNumberFormat="1" applyFont="1" applyFill="1" applyBorder="1" applyAlignment="1">
      <alignment vertical="center" wrapText="1"/>
    </xf>
    <xf numFmtId="164" fontId="13" fillId="0" borderId="0" xfId="42" applyNumberFormat="1" applyFont="1" applyFill="1" applyBorder="1" applyAlignment="1">
      <alignment horizontal="center" vertical="center" wrapText="1"/>
    </xf>
    <xf numFmtId="164" fontId="37" fillId="33" borderId="10" xfId="42" applyNumberFormat="1" applyFont="1" applyFill="1" applyBorder="1" applyAlignment="1">
      <alignment horizontal="right" vertical="center"/>
    </xf>
    <xf numFmtId="164" fontId="37" fillId="38" borderId="10" xfId="42" applyNumberFormat="1" applyFont="1" applyFill="1" applyBorder="1" applyAlignment="1">
      <alignment horizontal="right" vertical="center"/>
    </xf>
    <xf numFmtId="0" fontId="37" fillId="0" borderId="10" xfId="0" applyNumberFormat="1" applyFont="1" applyBorder="1" applyAlignment="1">
      <alignment horizontal="justify" vertical="center"/>
    </xf>
    <xf numFmtId="0" fontId="0" fillId="0" borderId="0" xfId="0" applyFill="1" applyAlignment="1">
      <alignment/>
    </xf>
    <xf numFmtId="164" fontId="37" fillId="37" borderId="10" xfId="42" applyNumberFormat="1" applyFont="1" applyFill="1" applyBorder="1" applyAlignment="1">
      <alignment vertical="center"/>
    </xf>
    <xf numFmtId="37" fontId="37" fillId="0" borderId="10" xfId="42" applyNumberFormat="1" applyFont="1" applyBorder="1" applyAlignment="1">
      <alignment vertical="center"/>
    </xf>
    <xf numFmtId="0" fontId="37" fillId="0" borderId="10" xfId="42" applyNumberFormat="1" applyFont="1" applyFill="1" applyBorder="1" applyAlignment="1">
      <alignment horizontal="right" vertical="center"/>
    </xf>
    <xf numFmtId="164" fontId="37" fillId="35" borderId="10" xfId="42" applyNumberFormat="1" applyFont="1" applyFill="1" applyBorder="1" applyAlignment="1">
      <alignment vertical="center"/>
    </xf>
    <xf numFmtId="164" fontId="15" fillId="0" borderId="10" xfId="42" applyNumberFormat="1" applyFont="1" applyBorder="1" applyAlignment="1">
      <alignment vertical="center"/>
    </xf>
    <xf numFmtId="164" fontId="37" fillId="35" borderId="10" xfId="42" applyNumberFormat="1" applyFont="1" applyFill="1" applyBorder="1" applyAlignment="1">
      <alignment horizontal="right" vertical="center"/>
    </xf>
    <xf numFmtId="164" fontId="0" fillId="0" borderId="0" xfId="42" applyNumberFormat="1" applyFont="1" applyAlignment="1">
      <alignment/>
    </xf>
    <xf numFmtId="43" fontId="0" fillId="0" borderId="0" xfId="42" applyFont="1" applyAlignment="1">
      <alignment/>
    </xf>
    <xf numFmtId="0" fontId="41" fillId="0" borderId="0" xfId="59" applyFont="1" applyFill="1">
      <alignment/>
      <protection/>
    </xf>
    <xf numFmtId="49" fontId="8" fillId="0" borderId="10" xfId="0" applyNumberFormat="1" applyFont="1" applyFill="1" applyBorder="1" applyAlignment="1">
      <alignment horizontal="center" vertical="center" wrapText="1"/>
    </xf>
    <xf numFmtId="43" fontId="8" fillId="0" borderId="10" xfId="42" applyFont="1" applyFill="1" applyBorder="1" applyAlignment="1">
      <alignment horizontal="center" vertical="center" wrapText="1"/>
    </xf>
    <xf numFmtId="0" fontId="10" fillId="0" borderId="10" xfId="0" applyFont="1" applyBorder="1" applyAlignment="1">
      <alignment horizontal="center" vertical="center" wrapText="1"/>
    </xf>
    <xf numFmtId="0" fontId="10" fillId="0" borderId="10" xfId="0" applyFont="1" applyFill="1" applyBorder="1" applyAlignment="1">
      <alignment horizontal="center" vertical="center" wrapText="1"/>
    </xf>
    <xf numFmtId="0" fontId="8" fillId="0" borderId="10" xfId="0" applyFont="1" applyFill="1" applyBorder="1" applyAlignment="1">
      <alignment vertical="center" wrapText="1"/>
    </xf>
    <xf numFmtId="167" fontId="10" fillId="0" borderId="10" xfId="0" applyNumberFormat="1" applyFont="1" applyFill="1" applyBorder="1" applyAlignment="1">
      <alignment horizontal="center" vertical="center" wrapText="1"/>
    </xf>
    <xf numFmtId="167" fontId="10" fillId="38" borderId="10" xfId="0" applyNumberFormat="1" applyFont="1" applyFill="1" applyBorder="1" applyAlignment="1">
      <alignment horizontal="center" vertical="center" wrapText="1"/>
    </xf>
    <xf numFmtId="164" fontId="45" fillId="33" borderId="10" xfId="42" applyNumberFormat="1" applyFont="1" applyFill="1" applyBorder="1" applyAlignment="1">
      <alignment horizontal="right" vertical="center"/>
    </xf>
    <xf numFmtId="164" fontId="11" fillId="38" borderId="10" xfId="42" applyNumberFormat="1" applyFont="1" applyFill="1" applyBorder="1" applyAlignment="1">
      <alignment horizontal="right" vertical="center"/>
    </xf>
    <xf numFmtId="164" fontId="11" fillId="33" borderId="10" xfId="42" applyNumberFormat="1" applyFont="1" applyFill="1" applyBorder="1" applyAlignment="1">
      <alignment horizontal="right" vertical="center"/>
    </xf>
    <xf numFmtId="43" fontId="11" fillId="33" borderId="10" xfId="42" applyFont="1" applyFill="1" applyBorder="1" applyAlignment="1">
      <alignment horizontal="right" vertical="center"/>
    </xf>
    <xf numFmtId="0" fontId="22" fillId="0" borderId="10" xfId="0" applyNumberFormat="1" applyFont="1" applyBorder="1" applyAlignment="1">
      <alignment horizontal="justify" vertical="center"/>
    </xf>
    <xf numFmtId="164" fontId="13" fillId="38" borderId="10" xfId="42" applyNumberFormat="1" applyFont="1" applyFill="1" applyBorder="1" applyAlignment="1">
      <alignment horizontal="right" vertical="center"/>
    </xf>
    <xf numFmtId="43" fontId="13" fillId="0" borderId="10" xfId="42" applyFont="1" applyFill="1" applyBorder="1" applyAlignment="1">
      <alignment horizontal="right" vertical="center"/>
    </xf>
    <xf numFmtId="164" fontId="13" fillId="33" borderId="10" xfId="42" applyNumberFormat="1" applyFont="1" applyFill="1" applyBorder="1" applyAlignment="1" applyProtection="1">
      <alignment horizontal="right" vertical="center" wrapText="1"/>
      <protection/>
    </xf>
    <xf numFmtId="43" fontId="13" fillId="0" borderId="10" xfId="42" applyFont="1" applyFill="1" applyBorder="1" applyAlignment="1" applyProtection="1">
      <alignment horizontal="right" vertical="center" wrapText="1"/>
      <protection/>
    </xf>
    <xf numFmtId="164" fontId="13" fillId="0" borderId="10" xfId="42" applyNumberFormat="1" applyFont="1" applyFill="1" applyBorder="1" applyAlignment="1" applyProtection="1">
      <alignment horizontal="right" vertical="center" wrapText="1"/>
      <protection/>
    </xf>
    <xf numFmtId="164" fontId="13" fillId="0" borderId="10" xfId="42" applyNumberFormat="1" applyFont="1" applyFill="1" applyBorder="1" applyAlignment="1" applyProtection="1">
      <alignment horizontal="center" vertical="center" wrapText="1"/>
      <protection/>
    </xf>
    <xf numFmtId="164" fontId="13" fillId="38" borderId="10" xfId="42" applyNumberFormat="1" applyFont="1" applyFill="1" applyBorder="1" applyAlignment="1" applyProtection="1">
      <alignment horizontal="center" vertical="center" wrapText="1"/>
      <protection/>
    </xf>
    <xf numFmtId="0" fontId="13" fillId="0" borderId="10" xfId="0" applyNumberFormat="1" applyFont="1" applyBorder="1" applyAlignment="1">
      <alignment horizontal="justify" vertical="center"/>
    </xf>
    <xf numFmtId="164" fontId="13" fillId="34" borderId="10" xfId="42" applyNumberFormat="1" applyFont="1" applyFill="1" applyBorder="1" applyAlignment="1" applyProtection="1">
      <alignment horizontal="right" vertical="center" wrapText="1"/>
      <protection/>
    </xf>
    <xf numFmtId="164" fontId="13" fillId="34" borderId="10" xfId="42" applyNumberFormat="1" applyFont="1" applyFill="1" applyBorder="1" applyAlignment="1" applyProtection="1">
      <alignment horizontal="center" vertical="center" wrapText="1"/>
      <protection/>
    </xf>
    <xf numFmtId="164" fontId="15" fillId="33" borderId="10" xfId="42" applyNumberFormat="1" applyFont="1" applyFill="1" applyBorder="1" applyAlignment="1">
      <alignment horizontal="right" vertical="center"/>
    </xf>
    <xf numFmtId="164" fontId="13" fillId="37" borderId="10" xfId="42" applyNumberFormat="1" applyFont="1" applyFill="1" applyBorder="1" applyAlignment="1">
      <alignment horizontal="right" vertical="center"/>
    </xf>
    <xf numFmtId="164" fontId="13" fillId="37" borderId="10" xfId="42" applyNumberFormat="1" applyFont="1" applyFill="1" applyBorder="1" applyAlignment="1" applyProtection="1">
      <alignment horizontal="center" vertical="center" wrapText="1"/>
      <protection/>
    </xf>
    <xf numFmtId="164" fontId="13" fillId="34" borderId="10" xfId="42" applyNumberFormat="1" applyFont="1" applyFill="1" applyBorder="1" applyAlignment="1">
      <alignment horizontal="right" vertical="center"/>
    </xf>
    <xf numFmtId="164" fontId="13" fillId="35" borderId="10" xfId="42" applyNumberFormat="1" applyFont="1" applyFill="1" applyBorder="1" applyAlignment="1" applyProtection="1">
      <alignment horizontal="center" vertical="center" wrapText="1"/>
      <protection/>
    </xf>
    <xf numFmtId="164" fontId="13" fillId="35" borderId="10" xfId="42" applyNumberFormat="1" applyFont="1" applyFill="1" applyBorder="1" applyAlignment="1">
      <alignment horizontal="right" vertical="center"/>
    </xf>
    <xf numFmtId="164" fontId="15" fillId="0" borderId="10" xfId="42" applyNumberFormat="1" applyFont="1" applyFill="1" applyBorder="1" applyAlignment="1">
      <alignment horizontal="right" vertical="center"/>
    </xf>
    <xf numFmtId="164" fontId="15" fillId="38" borderId="10" xfId="42" applyNumberFormat="1" applyFont="1" applyFill="1" applyBorder="1" applyAlignment="1">
      <alignment horizontal="right" vertical="center"/>
    </xf>
    <xf numFmtId="164" fontId="13" fillId="0" borderId="10" xfId="42" applyNumberFormat="1" applyFont="1" applyFill="1" applyBorder="1" applyAlignment="1">
      <alignment/>
    </xf>
    <xf numFmtId="43" fontId="36" fillId="0" borderId="0" xfId="42" applyFont="1" applyFill="1" applyAlignment="1">
      <alignment vertical="top"/>
    </xf>
    <xf numFmtId="164" fontId="36" fillId="0" borderId="0" xfId="59" applyNumberFormat="1" applyFont="1" applyFill="1" applyAlignment="1">
      <alignment vertical="top"/>
      <protection/>
    </xf>
    <xf numFmtId="0" fontId="37" fillId="0" borderId="0" xfId="59" applyFont="1" applyFill="1" applyAlignment="1">
      <alignment horizontal="left" vertical="top"/>
      <protection/>
    </xf>
    <xf numFmtId="43" fontId="37" fillId="0" borderId="0" xfId="42" applyFont="1" applyFill="1" applyAlignment="1">
      <alignment horizontal="left" vertical="top"/>
    </xf>
    <xf numFmtId="164" fontId="42" fillId="0" borderId="0" xfId="59" applyNumberFormat="1" applyFont="1" applyFill="1" applyAlignment="1">
      <alignment horizontal="center"/>
      <protection/>
    </xf>
    <xf numFmtId="0" fontId="41" fillId="0" borderId="0" xfId="59" applyFont="1" applyFill="1" applyAlignment="1">
      <alignment horizontal="center"/>
      <protection/>
    </xf>
    <xf numFmtId="43" fontId="41" fillId="0" borderId="0" xfId="42" applyFont="1" applyFill="1" applyAlignment="1">
      <alignment horizontal="center"/>
    </xf>
    <xf numFmtId="0" fontId="8" fillId="0" borderId="0" xfId="0" applyFont="1" applyAlignment="1">
      <alignment/>
    </xf>
    <xf numFmtId="0" fontId="10" fillId="0" borderId="13" xfId="0" applyFont="1" applyBorder="1" applyAlignment="1">
      <alignment horizontal="center" vertical="center" wrapText="1"/>
    </xf>
    <xf numFmtId="0" fontId="10" fillId="38" borderId="10" xfId="0" applyFont="1" applyFill="1" applyBorder="1" applyAlignment="1">
      <alignment horizontal="center" vertical="center" wrapText="1"/>
    </xf>
    <xf numFmtId="164" fontId="10" fillId="0" borderId="10" xfId="0" applyNumberFormat="1" applyFont="1" applyFill="1" applyBorder="1" applyAlignment="1">
      <alignment horizontal="center" vertical="center" wrapText="1"/>
    </xf>
    <xf numFmtId="164" fontId="8" fillId="33" borderId="10" xfId="42" applyNumberFormat="1" applyFont="1" applyFill="1" applyBorder="1" applyAlignment="1">
      <alignment horizontal="right" vertical="center" wrapText="1"/>
    </xf>
    <xf numFmtId="43" fontId="8" fillId="33" borderId="10" xfId="42" applyFont="1" applyFill="1" applyBorder="1" applyAlignment="1">
      <alignment horizontal="right" vertical="center" wrapText="1"/>
    </xf>
    <xf numFmtId="164" fontId="8" fillId="0" borderId="10" xfId="42" applyNumberFormat="1" applyFont="1" applyFill="1" applyBorder="1" applyAlignment="1">
      <alignment horizontal="right" vertical="center" wrapText="1"/>
    </xf>
    <xf numFmtId="164" fontId="15" fillId="33" borderId="10" xfId="42" applyNumberFormat="1" applyFont="1" applyFill="1" applyBorder="1" applyAlignment="1">
      <alignment horizontal="right" vertical="center" wrapText="1"/>
    </xf>
    <xf numFmtId="164" fontId="15" fillId="0" borderId="10" xfId="42" applyNumberFormat="1" applyFont="1" applyFill="1" applyBorder="1" applyAlignment="1">
      <alignment horizontal="center" vertical="center" wrapText="1"/>
    </xf>
    <xf numFmtId="164" fontId="15" fillId="38" borderId="10" xfId="42" applyNumberFormat="1" applyFont="1" applyFill="1" applyBorder="1" applyAlignment="1">
      <alignment horizontal="center" vertical="center" wrapText="1"/>
    </xf>
    <xf numFmtId="43" fontId="15" fillId="36" borderId="10" xfId="42" applyFont="1" applyFill="1" applyBorder="1" applyAlignment="1">
      <alignment horizontal="center" vertical="center" wrapText="1"/>
    </xf>
    <xf numFmtId="2" fontId="15" fillId="36" borderId="10" xfId="42" applyNumberFormat="1" applyFont="1" applyFill="1" applyBorder="1" applyAlignment="1">
      <alignment horizontal="center" vertical="center" wrapText="1"/>
    </xf>
    <xf numFmtId="43" fontId="15" fillId="0" borderId="10" xfId="42" applyFont="1" applyFill="1" applyBorder="1" applyAlignment="1">
      <alignment horizontal="right" vertical="center" wrapText="1"/>
    </xf>
    <xf numFmtId="164" fontId="15" fillId="0" borderId="10" xfId="42" applyNumberFormat="1" applyFont="1" applyFill="1" applyBorder="1" applyAlignment="1">
      <alignment horizontal="right" vertical="center" wrapText="1"/>
    </xf>
    <xf numFmtId="164" fontId="15" fillId="34" borderId="10" xfId="42" applyNumberFormat="1" applyFont="1" applyFill="1" applyBorder="1" applyAlignment="1">
      <alignment horizontal="right" vertical="center" wrapText="1"/>
    </xf>
    <xf numFmtId="164" fontId="10" fillId="34" borderId="10" xfId="42" applyNumberFormat="1" applyFont="1" applyFill="1" applyBorder="1" applyAlignment="1">
      <alignment horizontal="center" vertical="center" wrapText="1"/>
    </xf>
    <xf numFmtId="164" fontId="15" fillId="34" borderId="10" xfId="42" applyNumberFormat="1" applyFont="1" applyFill="1" applyBorder="1" applyAlignment="1">
      <alignment horizontal="center" vertical="center" wrapText="1"/>
    </xf>
    <xf numFmtId="164" fontId="10" fillId="34" borderId="10" xfId="42" applyNumberFormat="1" applyFont="1" applyFill="1" applyBorder="1" applyAlignment="1">
      <alignment horizontal="right" vertical="center" wrapText="1"/>
    </xf>
    <xf numFmtId="43" fontId="15" fillId="34" borderId="10" xfId="42" applyFont="1" applyFill="1" applyBorder="1" applyAlignment="1">
      <alignment horizontal="right" vertical="center" wrapText="1"/>
    </xf>
    <xf numFmtId="164" fontId="13" fillId="34" borderId="10" xfId="42" applyNumberFormat="1" applyFont="1" applyFill="1" applyBorder="1" applyAlignment="1">
      <alignment horizontal="right"/>
    </xf>
    <xf numFmtId="43" fontId="15" fillId="34" borderId="10" xfId="42" applyFont="1" applyFill="1" applyBorder="1" applyAlignment="1">
      <alignment horizontal="center" vertical="center" wrapText="1"/>
    </xf>
    <xf numFmtId="2" fontId="15" fillId="34" borderId="10" xfId="42" applyNumberFormat="1" applyFont="1" applyFill="1" applyBorder="1" applyAlignment="1">
      <alignment horizontal="center" vertical="center" wrapText="1"/>
    </xf>
    <xf numFmtId="164" fontId="15" fillId="34" borderId="10" xfId="42" applyNumberFormat="1" applyFont="1" applyFill="1" applyBorder="1" applyAlignment="1">
      <alignment horizontal="right" vertical="center" wrapText="1"/>
    </xf>
    <xf numFmtId="164" fontId="13" fillId="0" borderId="10" xfId="42" applyNumberFormat="1" applyFont="1" applyFill="1" applyBorder="1" applyAlignment="1">
      <alignment horizontal="right" vertical="center" wrapText="1"/>
    </xf>
    <xf numFmtId="164" fontId="0" fillId="0" borderId="0" xfId="0" applyNumberFormat="1" applyFill="1" applyAlignment="1">
      <alignment/>
    </xf>
    <xf numFmtId="165" fontId="41" fillId="0" borderId="0" xfId="59" applyNumberFormat="1" applyFont="1" applyFill="1">
      <alignment/>
      <protection/>
    </xf>
    <xf numFmtId="0" fontId="0" fillId="0" borderId="0" xfId="59" applyFont="1" applyFill="1">
      <alignment/>
      <protection/>
    </xf>
    <xf numFmtId="1" fontId="0" fillId="0" borderId="0" xfId="59" applyNumberFormat="1" applyFont="1" applyFill="1">
      <alignment/>
      <protection/>
    </xf>
    <xf numFmtId="0" fontId="47" fillId="0" borderId="0" xfId="59" applyFont="1" applyFill="1">
      <alignment/>
      <protection/>
    </xf>
    <xf numFmtId="1" fontId="47" fillId="0" borderId="0" xfId="59" applyNumberFormat="1" applyFont="1" applyFill="1">
      <alignment/>
      <protection/>
    </xf>
    <xf numFmtId="0" fontId="48" fillId="0" borderId="0" xfId="59" applyFont="1" applyFill="1">
      <alignment/>
      <protection/>
    </xf>
    <xf numFmtId="1" fontId="48" fillId="0" borderId="0" xfId="59" applyNumberFormat="1" applyFont="1" applyFill="1">
      <alignment/>
      <protection/>
    </xf>
    <xf numFmtId="49" fontId="13" fillId="0" borderId="0" xfId="59" applyNumberFormat="1" applyFont="1" applyFill="1" applyAlignment="1">
      <alignment/>
      <protection/>
    </xf>
    <xf numFmtId="1" fontId="13" fillId="0" borderId="0" xfId="59" applyNumberFormat="1" applyFont="1" applyFill="1" applyAlignment="1">
      <alignment/>
      <protection/>
    </xf>
    <xf numFmtId="0" fontId="13" fillId="0" borderId="10" xfId="59" applyFont="1" applyFill="1" applyBorder="1" applyAlignment="1">
      <alignment horizontal="center" vertical="center" wrapText="1"/>
      <protection/>
    </xf>
    <xf numFmtId="166" fontId="13" fillId="0" borderId="10" xfId="59" applyNumberFormat="1" applyFont="1" applyFill="1" applyBorder="1" applyAlignment="1">
      <alignment horizontal="center" vertical="center" wrapText="1"/>
      <protection/>
    </xf>
    <xf numFmtId="164" fontId="13" fillId="39" borderId="10" xfId="42" applyNumberFormat="1" applyFont="1" applyFill="1" applyBorder="1" applyAlignment="1">
      <alignment horizontal="right" vertical="center"/>
    </xf>
    <xf numFmtId="164" fontId="8" fillId="0" borderId="0" xfId="42" applyNumberFormat="1" applyFont="1" applyFill="1" applyAlignment="1">
      <alignment/>
    </xf>
    <xf numFmtId="1" fontId="8" fillId="0" borderId="0" xfId="42" applyNumberFormat="1" applyFont="1" applyFill="1" applyAlignment="1">
      <alignment/>
    </xf>
    <xf numFmtId="164" fontId="12" fillId="39" borderId="10" xfId="42" applyNumberFormat="1" applyFont="1" applyFill="1" applyBorder="1" applyAlignment="1" applyProtection="1">
      <alignment horizontal="center" vertical="center" wrapText="1"/>
      <protection/>
    </xf>
    <xf numFmtId="49" fontId="10" fillId="0" borderId="0" xfId="59" applyNumberFormat="1" applyFont="1" applyFill="1" applyAlignment="1">
      <alignment/>
      <protection/>
    </xf>
    <xf numFmtId="1" fontId="10" fillId="0" borderId="0" xfId="59" applyNumberFormat="1" applyFont="1" applyFill="1" applyAlignment="1">
      <alignment/>
      <protection/>
    </xf>
    <xf numFmtId="0" fontId="13" fillId="0" borderId="10" xfId="0" applyFont="1" applyFill="1" applyBorder="1" applyAlignment="1">
      <alignment vertical="center" wrapText="1"/>
    </xf>
    <xf numFmtId="164" fontId="13" fillId="5" borderId="10" xfId="42" applyNumberFormat="1" applyFont="1" applyFill="1" applyBorder="1" applyAlignment="1">
      <alignment horizontal="right" vertical="center"/>
    </xf>
    <xf numFmtId="0" fontId="13" fillId="0" borderId="10" xfId="42" applyNumberFormat="1" applyFont="1" applyFill="1" applyBorder="1" applyAlignment="1">
      <alignment horizontal="right" vertical="center"/>
    </xf>
    <xf numFmtId="2" fontId="13" fillId="0" borderId="0" xfId="59" applyNumberFormat="1" applyFont="1" applyFill="1" applyAlignment="1">
      <alignment/>
      <protection/>
    </xf>
    <xf numFmtId="0" fontId="13" fillId="0" borderId="10" xfId="60" applyFont="1" applyFill="1" applyBorder="1" applyAlignment="1">
      <alignment vertical="center" wrapText="1"/>
      <protection/>
    </xf>
    <xf numFmtId="0" fontId="13" fillId="0" borderId="10" xfId="42" applyNumberFormat="1" applyFont="1" applyFill="1" applyBorder="1" applyAlignment="1">
      <alignment horizontal="left" vertical="center" wrapText="1"/>
    </xf>
    <xf numFmtId="0" fontId="13" fillId="0" borderId="10" xfId="42" applyNumberFormat="1" applyFont="1" applyFill="1" applyBorder="1" applyAlignment="1">
      <alignment vertical="center" wrapText="1"/>
    </xf>
    <xf numFmtId="0" fontId="13" fillId="0" borderId="10" xfId="42" applyNumberFormat="1" applyFont="1" applyFill="1" applyBorder="1" applyAlignment="1">
      <alignment vertical="center"/>
    </xf>
    <xf numFmtId="0" fontId="19" fillId="0" borderId="0" xfId="0" applyFont="1" applyAlignment="1">
      <alignment/>
    </xf>
    <xf numFmtId="1" fontId="19" fillId="0" borderId="0" xfId="59" applyNumberFormat="1" applyFont="1" applyFill="1">
      <alignment/>
      <protection/>
    </xf>
    <xf numFmtId="165" fontId="0" fillId="0" borderId="0" xfId="59" applyNumberFormat="1" applyFont="1" applyFill="1">
      <alignment/>
      <protection/>
    </xf>
    <xf numFmtId="0" fontId="49" fillId="0" borderId="0" xfId="59" applyFont="1" applyFill="1" applyAlignment="1">
      <alignment horizontal="center" vertical="center"/>
      <protection/>
    </xf>
    <xf numFmtId="1" fontId="49" fillId="0" borderId="0" xfId="59" applyNumberFormat="1" applyFont="1" applyFill="1" applyAlignment="1">
      <alignment horizontal="center" vertical="center"/>
      <protection/>
    </xf>
    <xf numFmtId="0" fontId="50" fillId="0" borderId="0" xfId="59" applyFont="1" applyFill="1" applyAlignment="1">
      <alignment horizontal="center" vertical="center"/>
      <protection/>
    </xf>
    <xf numFmtId="1" fontId="50" fillId="0" borderId="0" xfId="59" applyNumberFormat="1" applyFont="1" applyFill="1" applyAlignment="1">
      <alignment horizontal="center" vertical="center"/>
      <protection/>
    </xf>
    <xf numFmtId="0" fontId="50" fillId="0" borderId="0" xfId="59" applyFont="1" applyFill="1">
      <alignment/>
      <protection/>
    </xf>
    <xf numFmtId="164" fontId="13" fillId="39" borderId="10" xfId="42" applyNumberFormat="1" applyFont="1" applyFill="1" applyBorder="1" applyAlignment="1">
      <alignment wrapText="1"/>
    </xf>
    <xf numFmtId="0" fontId="11" fillId="0" borderId="0" xfId="0" applyFont="1" applyAlignment="1">
      <alignment horizontal="center"/>
    </xf>
    <xf numFmtId="0" fontId="11" fillId="0" borderId="18" xfId="0" applyFont="1" applyBorder="1" applyAlignment="1">
      <alignment/>
    </xf>
    <xf numFmtId="0" fontId="25" fillId="0" borderId="18" xfId="0" applyFont="1" applyBorder="1" applyAlignment="1">
      <alignment horizontal="right"/>
    </xf>
    <xf numFmtId="0" fontId="13" fillId="0" borderId="10" xfId="0" applyFont="1" applyBorder="1" applyAlignment="1">
      <alignment horizontal="center" wrapText="1"/>
    </xf>
    <xf numFmtId="166" fontId="10" fillId="0" borderId="10" xfId="59" applyNumberFormat="1" applyFont="1" applyFill="1" applyBorder="1" applyAlignment="1">
      <alignment horizontal="center" vertical="center" wrapText="1"/>
      <protection/>
    </xf>
    <xf numFmtId="0" fontId="13" fillId="39" borderId="10" xfId="0" applyFont="1" applyFill="1" applyBorder="1" applyAlignment="1">
      <alignment horizontal="center" vertical="top" wrapText="1"/>
    </xf>
    <xf numFmtId="0" fontId="13" fillId="0" borderId="10" xfId="0" applyFont="1" applyBorder="1" applyAlignment="1">
      <alignment horizontal="justify" wrapText="1"/>
    </xf>
    <xf numFmtId="1" fontId="13" fillId="39" borderId="10" xfId="0" applyNumberFormat="1" applyFont="1" applyFill="1" applyBorder="1" applyAlignment="1">
      <alignment horizontal="center" wrapText="1"/>
    </xf>
    <xf numFmtId="1" fontId="13" fillId="37" borderId="10" xfId="0" applyNumberFormat="1" applyFont="1" applyFill="1" applyBorder="1" applyAlignment="1">
      <alignment horizontal="center" wrapText="1"/>
    </xf>
    <xf numFmtId="0" fontId="13" fillId="39" borderId="10" xfId="0" applyFont="1" applyFill="1" applyBorder="1" applyAlignment="1">
      <alignment horizontal="center" wrapText="1"/>
    </xf>
    <xf numFmtId="164" fontId="2" fillId="0" borderId="0" xfId="42" applyNumberFormat="1" applyFont="1" applyFill="1" applyAlignment="1">
      <alignment vertical="top"/>
    </xf>
    <xf numFmtId="164" fontId="17" fillId="0" borderId="0" xfId="42" applyNumberFormat="1" applyFont="1" applyFill="1" applyAlignment="1">
      <alignment/>
    </xf>
    <xf numFmtId="164" fontId="5" fillId="0" borderId="0" xfId="42" applyNumberFormat="1" applyFont="1" applyFill="1" applyAlignment="1">
      <alignment horizontal="center"/>
    </xf>
    <xf numFmtId="164" fontId="9" fillId="0" borderId="0" xfId="42" applyNumberFormat="1" applyFont="1" applyFill="1" applyAlignment="1">
      <alignment/>
    </xf>
    <xf numFmtId="164" fontId="19" fillId="0" borderId="0" xfId="42" applyNumberFormat="1" applyFont="1" applyFill="1" applyAlignment="1">
      <alignment/>
    </xf>
    <xf numFmtId="0" fontId="18" fillId="0" borderId="0" xfId="0" applyFont="1" applyFill="1" applyBorder="1" applyAlignment="1">
      <alignment/>
    </xf>
    <xf numFmtId="164" fontId="13" fillId="0" borderId="11" xfId="42" applyNumberFormat="1" applyFont="1" applyFill="1" applyBorder="1" applyAlignment="1">
      <alignment horizontal="center" vertical="center" wrapText="1"/>
    </xf>
    <xf numFmtId="164" fontId="13" fillId="0" borderId="15" xfId="42" applyNumberFormat="1" applyFont="1" applyFill="1" applyBorder="1" applyAlignment="1">
      <alignment horizontal="center" vertical="center" wrapText="1"/>
    </xf>
    <xf numFmtId="164" fontId="13" fillId="0" borderId="14" xfId="42" applyNumberFormat="1" applyFont="1" applyFill="1" applyBorder="1" applyAlignment="1">
      <alignment horizontal="center" vertical="center" wrapText="1"/>
    </xf>
    <xf numFmtId="164" fontId="12" fillId="33" borderId="10" xfId="42" applyNumberFormat="1" applyFont="1" applyFill="1" applyBorder="1" applyAlignment="1" applyProtection="1">
      <alignment horizontal="right" vertical="center"/>
      <protection/>
    </xf>
    <xf numFmtId="164" fontId="13" fillId="0" borderId="10" xfId="42" applyNumberFormat="1" applyFont="1" applyFill="1" applyBorder="1" applyAlignment="1">
      <alignment horizontal="center" vertical="top" wrapText="1"/>
    </xf>
    <xf numFmtId="164" fontId="13" fillId="0" borderId="10" xfId="42" applyNumberFormat="1" applyFont="1" applyFill="1" applyBorder="1" applyAlignment="1" quotePrefix="1">
      <alignment horizontal="center" vertical="center"/>
    </xf>
    <xf numFmtId="164" fontId="13" fillId="33" borderId="10" xfId="42" applyNumberFormat="1" applyFont="1" applyFill="1" applyBorder="1" applyAlignment="1" quotePrefix="1">
      <alignment horizontal="right" vertical="center" wrapText="1"/>
    </xf>
    <xf numFmtId="164" fontId="13" fillId="0" borderId="11" xfId="42" applyNumberFormat="1" applyFont="1" applyFill="1" applyBorder="1" applyAlignment="1">
      <alignment horizontal="center" vertical="top" wrapText="1"/>
    </xf>
    <xf numFmtId="164" fontId="13" fillId="36" borderId="10" xfId="42" applyNumberFormat="1" applyFont="1" applyFill="1" applyBorder="1" applyAlignment="1" quotePrefix="1">
      <alignment horizontal="right" vertical="center"/>
    </xf>
    <xf numFmtId="164" fontId="13" fillId="36" borderId="10" xfId="42" applyNumberFormat="1" applyFont="1" applyFill="1" applyBorder="1" applyAlignment="1">
      <alignment horizontal="center" vertical="center"/>
    </xf>
    <xf numFmtId="164" fontId="13" fillId="36" borderId="10" xfId="42" applyNumberFormat="1" applyFont="1" applyFill="1" applyBorder="1" applyAlignment="1" quotePrefix="1">
      <alignment horizontal="center" vertical="center"/>
    </xf>
    <xf numFmtId="164" fontId="13" fillId="0" borderId="10" xfId="42" applyNumberFormat="1" applyFont="1" applyFill="1" applyBorder="1" applyAlignment="1" quotePrefix="1">
      <alignment horizontal="right" vertical="center" wrapText="1"/>
    </xf>
    <xf numFmtId="164" fontId="12" fillId="33" borderId="10" xfId="42" applyNumberFormat="1" applyFont="1" applyFill="1" applyBorder="1" applyAlignment="1" applyProtection="1">
      <alignment vertical="center" wrapText="1"/>
      <protection/>
    </xf>
    <xf numFmtId="164" fontId="13" fillId="34" borderId="11" xfId="42" applyNumberFormat="1" applyFont="1" applyFill="1" applyBorder="1" applyAlignment="1">
      <alignment horizontal="center" vertical="center" wrapText="1"/>
    </xf>
    <xf numFmtId="164" fontId="13" fillId="33" borderId="10" xfId="42" applyNumberFormat="1" applyFont="1" applyFill="1" applyBorder="1" applyAlignment="1">
      <alignment vertical="center" wrapText="1"/>
    </xf>
    <xf numFmtId="164" fontId="13" fillId="33" borderId="10" xfId="42" applyNumberFormat="1" applyFont="1" applyFill="1" applyBorder="1" applyAlignment="1">
      <alignment horizontal="center" vertical="center"/>
    </xf>
    <xf numFmtId="164" fontId="13" fillId="5" borderId="10" xfId="42" applyNumberFormat="1" applyFont="1" applyFill="1" applyBorder="1" applyAlignment="1" quotePrefix="1">
      <alignment horizontal="right" vertical="center"/>
    </xf>
    <xf numFmtId="164" fontId="13" fillId="37" borderId="10" xfId="42" applyNumberFormat="1" applyFont="1" applyFill="1" applyBorder="1" applyAlignment="1">
      <alignment horizontal="center" vertical="center"/>
    </xf>
    <xf numFmtId="164" fontId="13" fillId="34" borderId="10" xfId="42" applyNumberFormat="1" applyFont="1" applyFill="1" applyBorder="1" applyAlignment="1" quotePrefix="1">
      <alignment horizontal="right" vertical="center"/>
    </xf>
    <xf numFmtId="164" fontId="13" fillId="34" borderId="10" xfId="42" applyNumberFormat="1" applyFont="1" applyFill="1" applyBorder="1" applyAlignment="1">
      <alignment horizontal="center" vertical="center"/>
    </xf>
    <xf numFmtId="164" fontId="13" fillId="5" borderId="10" xfId="42" applyNumberFormat="1" applyFont="1" applyFill="1" applyBorder="1" applyAlignment="1">
      <alignment horizontal="center" vertical="center"/>
    </xf>
    <xf numFmtId="164" fontId="13" fillId="5" borderId="10" xfId="42" applyNumberFormat="1" applyFont="1" applyFill="1" applyBorder="1" applyAlignment="1" quotePrefix="1">
      <alignment horizontal="right" vertical="center" wrapText="1"/>
    </xf>
    <xf numFmtId="164" fontId="0" fillId="0" borderId="0" xfId="42" applyNumberFormat="1" applyAlignment="1">
      <alignment/>
    </xf>
    <xf numFmtId="164" fontId="13" fillId="0" borderId="0" xfId="42" applyNumberFormat="1" applyFont="1" applyAlignment="1">
      <alignment/>
    </xf>
    <xf numFmtId="164" fontId="13" fillId="0" borderId="0" xfId="42" applyNumberFormat="1" applyFont="1" applyFill="1" applyAlignment="1">
      <alignment/>
    </xf>
    <xf numFmtId="164" fontId="13" fillId="0" borderId="0" xfId="42" applyNumberFormat="1" applyFont="1" applyFill="1" applyBorder="1" applyAlignment="1">
      <alignment horizontal="center" vertical="center"/>
    </xf>
    <xf numFmtId="164" fontId="13" fillId="0" borderId="0" xfId="42" applyNumberFormat="1" applyFont="1" applyFill="1" applyBorder="1" applyAlignment="1">
      <alignment/>
    </xf>
    <xf numFmtId="164" fontId="18" fillId="32" borderId="0" xfId="42" applyNumberFormat="1" applyFont="1" applyFill="1" applyAlignment="1">
      <alignment/>
    </xf>
    <xf numFmtId="0" fontId="36" fillId="0" borderId="0" xfId="61" applyFont="1" applyFill="1" applyAlignment="1">
      <alignment horizontal="left" vertical="top"/>
      <protection/>
    </xf>
    <xf numFmtId="1" fontId="0" fillId="0" borderId="0" xfId="0" applyNumberFormat="1" applyAlignment="1">
      <alignment/>
    </xf>
    <xf numFmtId="164" fontId="51" fillId="0" borderId="0" xfId="42" applyNumberFormat="1" applyFont="1" applyAlignment="1">
      <alignment/>
    </xf>
    <xf numFmtId="0" fontId="4" fillId="0" borderId="0" xfId="0" applyFont="1" applyFill="1" applyAlignment="1">
      <alignment horizontal="center" vertical="center"/>
    </xf>
    <xf numFmtId="0" fontId="42" fillId="0" borderId="0" xfId="61" applyFont="1" applyFill="1" applyAlignment="1">
      <alignment horizontal="center" vertical="center"/>
      <protection/>
    </xf>
    <xf numFmtId="0" fontId="52" fillId="0" borderId="0" xfId="61" applyFont="1" applyFill="1" applyAlignment="1">
      <alignment horizontal="center" vertical="center"/>
      <protection/>
    </xf>
    <xf numFmtId="1" fontId="52" fillId="0" borderId="0" xfId="61" applyNumberFormat="1" applyFont="1" applyFill="1" applyAlignment="1">
      <alignment horizontal="center" vertical="center"/>
      <protection/>
    </xf>
    <xf numFmtId="164" fontId="52" fillId="0" borderId="0" xfId="42" applyNumberFormat="1" applyFont="1" applyFill="1" applyAlignment="1">
      <alignment horizontal="center" vertical="center"/>
    </xf>
    <xf numFmtId="0" fontId="18" fillId="0" borderId="0" xfId="0" applyFont="1" applyAlignment="1">
      <alignment horizontal="center"/>
    </xf>
    <xf numFmtId="0" fontId="13" fillId="0" borderId="0" xfId="0" applyFont="1" applyFill="1" applyAlignment="1">
      <alignment horizontal="center" wrapText="1"/>
    </xf>
    <xf numFmtId="166" fontId="13" fillId="0" borderId="10" xfId="0" applyNumberFormat="1" applyFont="1" applyBorder="1" applyAlignment="1">
      <alignment horizontal="center" vertical="center" wrapText="1"/>
    </xf>
    <xf numFmtId="1" fontId="13" fillId="0" borderId="10" xfId="0" applyNumberFormat="1" applyFont="1" applyBorder="1" applyAlignment="1">
      <alignment horizontal="center" vertical="center" wrapText="1"/>
    </xf>
    <xf numFmtId="164" fontId="13" fillId="0" borderId="10" xfId="42" applyNumberFormat="1" applyFont="1" applyBorder="1" applyAlignment="1">
      <alignment horizontal="center" vertical="center" wrapText="1"/>
    </xf>
    <xf numFmtId="164" fontId="11" fillId="33" borderId="13" xfId="42" applyNumberFormat="1" applyFont="1" applyFill="1" applyBorder="1" applyAlignment="1">
      <alignment horizontal="right" vertical="center" wrapText="1"/>
    </xf>
    <xf numFmtId="164" fontId="8" fillId="33" borderId="13" xfId="42" applyNumberFormat="1" applyFont="1" applyFill="1" applyBorder="1" applyAlignment="1">
      <alignment horizontal="right" vertical="center" wrapText="1"/>
    </xf>
    <xf numFmtId="164" fontId="45" fillId="33" borderId="13" xfId="42" applyNumberFormat="1" applyFont="1" applyFill="1" applyBorder="1" applyAlignment="1">
      <alignment horizontal="right" vertical="center" wrapText="1"/>
    </xf>
    <xf numFmtId="164" fontId="13" fillId="0" borderId="10" xfId="42" applyNumberFormat="1" applyFont="1" applyFill="1" applyBorder="1" applyAlignment="1">
      <alignment horizontal="center" wrapText="1"/>
    </xf>
    <xf numFmtId="164" fontId="13" fillId="0" borderId="10" xfId="42" applyNumberFormat="1" applyFont="1" applyFill="1" applyBorder="1" applyAlignment="1">
      <alignment wrapText="1"/>
    </xf>
    <xf numFmtId="164" fontId="13" fillId="33" borderId="10" xfId="42" applyNumberFormat="1" applyFont="1" applyFill="1" applyBorder="1" applyAlignment="1">
      <alignment wrapText="1"/>
    </xf>
    <xf numFmtId="168" fontId="13" fillId="0" borderId="10" xfId="42" applyNumberFormat="1" applyFont="1" applyFill="1" applyBorder="1" applyAlignment="1">
      <alignment horizontal="right" vertical="center"/>
    </xf>
    <xf numFmtId="164" fontId="13" fillId="37" borderId="10" xfId="42" applyNumberFormat="1" applyFont="1" applyFill="1" applyBorder="1" applyAlignment="1">
      <alignment horizontal="right" vertical="center"/>
    </xf>
    <xf numFmtId="164" fontId="13" fillId="34" borderId="10" xfId="42" applyNumberFormat="1" applyFont="1" applyFill="1" applyBorder="1" applyAlignment="1">
      <alignment wrapText="1"/>
    </xf>
    <xf numFmtId="164" fontId="13" fillId="34" borderId="10" xfId="42" applyNumberFormat="1" applyFont="1" applyFill="1" applyBorder="1" applyAlignment="1">
      <alignment horizontal="right" vertical="center"/>
    </xf>
    <xf numFmtId="164" fontId="13" fillId="5" borderId="10" xfId="42" applyNumberFormat="1" applyFont="1" applyFill="1" applyBorder="1" applyAlignment="1">
      <alignment horizontal="right" vertical="center"/>
    </xf>
    <xf numFmtId="164" fontId="13" fillId="0" borderId="10" xfId="42" applyNumberFormat="1" applyFont="1" applyFill="1" applyBorder="1" applyAlignment="1" applyProtection="1">
      <alignment vertical="center" wrapText="1"/>
      <protection locked="0"/>
    </xf>
    <xf numFmtId="0" fontId="13" fillId="33" borderId="10" xfId="42" applyNumberFormat="1" applyFont="1" applyFill="1" applyBorder="1" applyAlignment="1">
      <alignment horizontal="right" vertical="center"/>
    </xf>
    <xf numFmtId="164" fontId="53" fillId="33" borderId="10" xfId="42" applyNumberFormat="1" applyFont="1" applyFill="1" applyBorder="1" applyAlignment="1">
      <alignment horizontal="right" vertical="center"/>
    </xf>
    <xf numFmtId="1" fontId="13" fillId="33" borderId="10" xfId="42" applyNumberFormat="1" applyFont="1" applyFill="1" applyBorder="1" applyAlignment="1">
      <alignment horizontal="right" vertical="center"/>
    </xf>
    <xf numFmtId="1" fontId="13" fillId="33" borderId="10" xfId="42" applyNumberFormat="1" applyFont="1" applyFill="1" applyBorder="1" applyAlignment="1">
      <alignment horizontal="right" vertical="center"/>
    </xf>
    <xf numFmtId="164" fontId="13" fillId="0" borderId="10" xfId="42" applyNumberFormat="1" applyFont="1" applyFill="1" applyBorder="1" applyAlignment="1">
      <alignment/>
    </xf>
    <xf numFmtId="164" fontId="13" fillId="0" borderId="10" xfId="42" applyNumberFormat="1" applyFont="1" applyFill="1" applyBorder="1" applyAlignment="1">
      <alignment horizontal="left"/>
    </xf>
    <xf numFmtId="0" fontId="11" fillId="0" borderId="0" xfId="61" applyFont="1" applyFill="1" applyAlignment="1">
      <alignment horizontal="center" vertical="center"/>
      <protection/>
    </xf>
    <xf numFmtId="164" fontId="19" fillId="0" borderId="0" xfId="42" applyNumberFormat="1" applyFont="1" applyAlignment="1">
      <alignment/>
    </xf>
    <xf numFmtId="166" fontId="13" fillId="0" borderId="11" xfId="0" applyNumberFormat="1" applyFont="1" applyBorder="1" applyAlignment="1">
      <alignment horizontal="center" vertical="center" wrapText="1"/>
    </xf>
    <xf numFmtId="166" fontId="13" fillId="0" borderId="12" xfId="0" applyNumberFormat="1" applyFont="1" applyBorder="1" applyAlignment="1">
      <alignment horizontal="center" vertical="center" wrapText="1"/>
    </xf>
    <xf numFmtId="164" fontId="13" fillId="0" borderId="11" xfId="42" applyNumberFormat="1" applyFont="1" applyBorder="1" applyAlignment="1">
      <alignment horizontal="center" vertical="center" wrapText="1"/>
    </xf>
    <xf numFmtId="164" fontId="11" fillId="33" borderId="13" xfId="42" applyNumberFormat="1" applyFont="1" applyFill="1" applyBorder="1" applyAlignment="1" applyProtection="1">
      <alignment vertical="center" wrapText="1"/>
      <protection/>
    </xf>
    <xf numFmtId="164" fontId="11" fillId="33" borderId="10" xfId="42" applyNumberFormat="1" applyFont="1" applyFill="1" applyBorder="1" applyAlignment="1" applyProtection="1">
      <alignment vertical="center" wrapText="1"/>
      <protection/>
    </xf>
    <xf numFmtId="164" fontId="13" fillId="0" borderId="13" xfId="42" applyNumberFormat="1" applyFont="1" applyFill="1" applyBorder="1" applyAlignment="1">
      <alignment horizontal="right" vertical="center"/>
    </xf>
    <xf numFmtId="164" fontId="13" fillId="35" borderId="13" xfId="42" applyNumberFormat="1" applyFont="1" applyFill="1" applyBorder="1" applyAlignment="1">
      <alignment horizontal="right" vertical="center"/>
    </xf>
    <xf numFmtId="164" fontId="13" fillId="35" borderId="10" xfId="42" applyNumberFormat="1" applyFont="1" applyFill="1" applyBorder="1" applyAlignment="1">
      <alignment horizontal="right" vertical="center"/>
    </xf>
    <xf numFmtId="164" fontId="13" fillId="32" borderId="10" xfId="42" applyNumberFormat="1" applyFont="1" applyFill="1" applyBorder="1" applyAlignment="1">
      <alignment horizontal="right" vertical="center"/>
    </xf>
    <xf numFmtId="0" fontId="42" fillId="0" borderId="0" xfId="0" applyFont="1" applyFill="1" applyAlignment="1">
      <alignment/>
    </xf>
    <xf numFmtId="164" fontId="42" fillId="0" borderId="0" xfId="42" applyNumberFormat="1" applyFont="1" applyFill="1" applyAlignment="1">
      <alignment/>
    </xf>
    <xf numFmtId="0" fontId="52" fillId="0" borderId="0" xfId="59" applyFont="1" applyFill="1" applyAlignment="1">
      <alignment horizontal="center" vertical="center"/>
      <protection/>
    </xf>
    <xf numFmtId="164" fontId="18" fillId="0" borderId="0" xfId="0" applyNumberFormat="1" applyFont="1" applyFill="1" applyAlignment="1">
      <alignment/>
    </xf>
    <xf numFmtId="164" fontId="18" fillId="0" borderId="0" xfId="42" applyNumberFormat="1" applyFont="1" applyFill="1" applyAlignment="1">
      <alignment/>
    </xf>
    <xf numFmtId="165" fontId="18" fillId="0" borderId="0" xfId="0" applyNumberFormat="1" applyFont="1" applyFill="1" applyAlignment="1">
      <alignment/>
    </xf>
    <xf numFmtId="2" fontId="18" fillId="0" borderId="0" xfId="0" applyNumberFormat="1" applyFont="1" applyFill="1" applyAlignment="1">
      <alignment/>
    </xf>
    <xf numFmtId="49" fontId="13" fillId="0" borderId="14" xfId="0" applyNumberFormat="1" applyFont="1" applyFill="1" applyBorder="1" applyAlignment="1">
      <alignment horizontal="center" vertical="center" wrapText="1"/>
    </xf>
    <xf numFmtId="49" fontId="13" fillId="0" borderId="10" xfId="0" applyNumberFormat="1" applyFont="1" applyFill="1" applyBorder="1" applyAlignment="1">
      <alignment horizontal="center" vertical="center" wrapText="1"/>
    </xf>
    <xf numFmtId="166" fontId="13" fillId="0" borderId="14" xfId="0" applyNumberFormat="1" applyFont="1" applyFill="1" applyBorder="1" applyAlignment="1">
      <alignment horizontal="center" vertical="center" wrapText="1"/>
    </xf>
    <xf numFmtId="49" fontId="13" fillId="0" borderId="10" xfId="0" applyNumberFormat="1" applyFont="1" applyBorder="1" applyAlignment="1">
      <alignment horizontal="center"/>
    </xf>
    <xf numFmtId="49" fontId="13" fillId="0" borderId="0" xfId="0" applyNumberFormat="1" applyFont="1" applyAlignment="1">
      <alignment horizontal="center"/>
    </xf>
    <xf numFmtId="49" fontId="13" fillId="0" borderId="14" xfId="42" applyNumberFormat="1" applyFont="1" applyFill="1" applyBorder="1" applyAlignment="1">
      <alignment horizontal="center" vertical="center" wrapText="1"/>
    </xf>
    <xf numFmtId="49" fontId="13" fillId="0" borderId="10" xfId="42" applyNumberFormat="1" applyFont="1" applyFill="1" applyBorder="1" applyAlignment="1">
      <alignment horizontal="center" vertical="center" wrapText="1"/>
    </xf>
    <xf numFmtId="164" fontId="45" fillId="33" borderId="10" xfId="42" applyNumberFormat="1" applyFont="1" applyFill="1" applyBorder="1" applyAlignment="1" applyProtection="1">
      <alignment horizontal="right" vertical="center" wrapText="1"/>
      <protection/>
    </xf>
    <xf numFmtId="164" fontId="8" fillId="33" borderId="10" xfId="42" applyNumberFormat="1" applyFont="1" applyFill="1" applyBorder="1" applyAlignment="1" applyProtection="1">
      <alignment horizontal="right" vertical="center" wrapText="1"/>
      <protection/>
    </xf>
    <xf numFmtId="164" fontId="45" fillId="34" borderId="10" xfId="42" applyNumberFormat="1" applyFont="1" applyFill="1" applyBorder="1" applyAlignment="1" applyProtection="1">
      <alignment horizontal="right" vertical="center" wrapText="1"/>
      <protection/>
    </xf>
    <xf numFmtId="164" fontId="54" fillId="0" borderId="0" xfId="42" applyNumberFormat="1" applyFont="1" applyFill="1" applyBorder="1" applyAlignment="1" applyProtection="1">
      <alignment horizontal="left" vertical="center"/>
      <protection/>
    </xf>
    <xf numFmtId="0" fontId="15" fillId="0" borderId="0" xfId="0" applyFont="1" applyAlignment="1">
      <alignment/>
    </xf>
    <xf numFmtId="164" fontId="15" fillId="0" borderId="0" xfId="42" applyNumberFormat="1" applyFont="1" applyAlignment="1">
      <alignment/>
    </xf>
    <xf numFmtId="164" fontId="13" fillId="0" borderId="10" xfId="42" applyNumberFormat="1" applyFont="1" applyBorder="1" applyAlignment="1">
      <alignment horizontal="right"/>
    </xf>
    <xf numFmtId="164" fontId="13" fillId="0" borderId="0" xfId="42" applyNumberFormat="1" applyFont="1" applyFill="1" applyBorder="1" applyAlignment="1">
      <alignment/>
    </xf>
    <xf numFmtId="164" fontId="22" fillId="0" borderId="10" xfId="42" applyNumberFormat="1" applyFont="1" applyBorder="1" applyAlignment="1" applyProtection="1">
      <alignment horizontal="right" vertical="center" wrapText="1"/>
      <protection locked="0"/>
    </xf>
    <xf numFmtId="164" fontId="22" fillId="0" borderId="10" xfId="42" applyNumberFormat="1" applyFont="1" applyFill="1" applyBorder="1" applyAlignment="1" applyProtection="1">
      <alignment horizontal="right" vertical="center" wrapText="1"/>
      <protection locked="0"/>
    </xf>
    <xf numFmtId="164" fontId="13" fillId="34" borderId="10" xfId="42" applyNumberFormat="1" applyFont="1" applyFill="1" applyBorder="1" applyAlignment="1">
      <alignment horizontal="right"/>
    </xf>
    <xf numFmtId="164" fontId="13" fillId="0" borderId="10" xfId="42" applyNumberFormat="1" applyFont="1" applyFill="1" applyBorder="1" applyAlignment="1">
      <alignment horizontal="right"/>
    </xf>
    <xf numFmtId="164" fontId="13" fillId="18" borderId="10" xfId="42" applyNumberFormat="1" applyFont="1" applyFill="1" applyBorder="1" applyAlignment="1">
      <alignment horizontal="right"/>
    </xf>
    <xf numFmtId="164" fontId="19" fillId="36" borderId="0" xfId="42" applyNumberFormat="1" applyFont="1" applyFill="1" applyAlignment="1">
      <alignment/>
    </xf>
    <xf numFmtId="164" fontId="0" fillId="0" borderId="0" xfId="42" applyNumberFormat="1" applyFont="1" applyFill="1" applyAlignment="1">
      <alignment/>
    </xf>
    <xf numFmtId="0" fontId="0" fillId="0" borderId="0" xfId="61">
      <alignment/>
      <protection/>
    </xf>
    <xf numFmtId="0" fontId="42" fillId="0" borderId="0" xfId="61" applyFont="1" applyFill="1" applyAlignment="1">
      <alignment/>
      <protection/>
    </xf>
    <xf numFmtId="164" fontId="42" fillId="0" borderId="0" xfId="44" applyNumberFormat="1" applyFont="1" applyFill="1" applyAlignment="1">
      <alignment/>
    </xf>
    <xf numFmtId="194" fontId="42" fillId="0" borderId="0" xfId="45" applyNumberFormat="1" applyFont="1" applyFill="1" applyAlignment="1">
      <alignment/>
    </xf>
    <xf numFmtId="0" fontId="18" fillId="0" borderId="0" xfId="61" applyFont="1" applyAlignment="1">
      <alignment horizontal="center"/>
      <protection/>
    </xf>
    <xf numFmtId="0" fontId="18" fillId="0" borderId="0" xfId="61" applyFont="1" applyFill="1">
      <alignment/>
      <protection/>
    </xf>
    <xf numFmtId="0" fontId="52" fillId="0" borderId="0" xfId="62" applyFont="1" applyFill="1" applyAlignment="1">
      <alignment horizontal="center" vertical="center"/>
      <protection/>
    </xf>
    <xf numFmtId="164" fontId="52" fillId="0" borderId="0" xfId="44" applyNumberFormat="1" applyFont="1" applyFill="1" applyAlignment="1">
      <alignment horizontal="center" vertical="center"/>
    </xf>
    <xf numFmtId="194" fontId="52" fillId="0" borderId="0" xfId="45" applyNumberFormat="1" applyFont="1" applyFill="1" applyAlignment="1">
      <alignment horizontal="center" vertical="center"/>
    </xf>
    <xf numFmtId="0" fontId="13" fillId="0" borderId="0" xfId="61" applyFont="1" applyFill="1">
      <alignment/>
      <protection/>
    </xf>
    <xf numFmtId="164" fontId="13" fillId="0" borderId="15" xfId="44" applyNumberFormat="1" applyFont="1" applyFill="1" applyBorder="1" applyAlignment="1">
      <alignment horizontal="center" vertical="center" wrapText="1"/>
    </xf>
    <xf numFmtId="0" fontId="13" fillId="0" borderId="15" xfId="61" applyFont="1" applyFill="1" applyBorder="1" applyAlignment="1">
      <alignment horizontal="center" vertical="center" wrapText="1"/>
      <protection/>
    </xf>
    <xf numFmtId="194" fontId="13" fillId="0" borderId="15" xfId="45" applyNumberFormat="1" applyFont="1" applyFill="1" applyBorder="1" applyAlignment="1">
      <alignment horizontal="center" vertical="center" wrapText="1"/>
    </xf>
    <xf numFmtId="166" fontId="13" fillId="0" borderId="10" xfId="61" applyNumberFormat="1" applyFont="1" applyBorder="1" applyAlignment="1">
      <alignment horizontal="center" vertical="center" wrapText="1"/>
      <protection/>
    </xf>
    <xf numFmtId="0" fontId="13" fillId="0" borderId="0" xfId="61" applyFont="1">
      <alignment/>
      <protection/>
    </xf>
    <xf numFmtId="194" fontId="8" fillId="33" borderId="10" xfId="45" applyNumberFormat="1" applyFont="1" applyFill="1" applyBorder="1" applyAlignment="1" applyProtection="1">
      <alignment vertical="center" wrapText="1"/>
      <protection/>
    </xf>
    <xf numFmtId="0" fontId="10" fillId="0" borderId="0" xfId="61" applyFont="1">
      <alignment/>
      <protection/>
    </xf>
    <xf numFmtId="0" fontId="13" fillId="0" borderId="10" xfId="61" applyFont="1" applyFill="1" applyBorder="1" applyAlignment="1">
      <alignment wrapText="1"/>
      <protection/>
    </xf>
    <xf numFmtId="194" fontId="13" fillId="33" borderId="10" xfId="45" applyNumberFormat="1" applyFont="1" applyFill="1" applyBorder="1" applyAlignment="1">
      <alignment vertical="center" wrapText="1"/>
    </xf>
    <xf numFmtId="194" fontId="13" fillId="0" borderId="10" xfId="45" applyNumberFormat="1" applyFont="1" applyFill="1" applyBorder="1" applyAlignment="1">
      <alignment vertical="center"/>
    </xf>
    <xf numFmtId="1" fontId="13" fillId="0" borderId="10" xfId="45" applyNumberFormat="1" applyFont="1" applyFill="1" applyBorder="1" applyAlignment="1">
      <alignment vertical="center"/>
    </xf>
    <xf numFmtId="194" fontId="13" fillId="0" borderId="10" xfId="45" applyNumberFormat="1" applyFont="1" applyFill="1" applyBorder="1" applyAlignment="1">
      <alignment vertical="center" wrapText="1"/>
    </xf>
    <xf numFmtId="194" fontId="13" fillId="33" borderId="10" xfId="45" applyNumberFormat="1" applyFont="1" applyFill="1" applyBorder="1" applyAlignment="1">
      <alignment vertical="center"/>
    </xf>
    <xf numFmtId="0" fontId="19" fillId="0" borderId="0" xfId="61" applyFont="1">
      <alignment/>
      <protection/>
    </xf>
    <xf numFmtId="194" fontId="13" fillId="5" borderId="10" xfId="45" applyNumberFormat="1" applyFont="1" applyFill="1" applyBorder="1" applyAlignment="1">
      <alignment vertical="center"/>
    </xf>
    <xf numFmtId="1" fontId="13" fillId="5" borderId="10" xfId="45" applyNumberFormat="1" applyFont="1" applyFill="1" applyBorder="1" applyAlignment="1">
      <alignment vertical="center"/>
    </xf>
    <xf numFmtId="194" fontId="13" fillId="37" borderId="10" xfId="45" applyNumberFormat="1" applyFont="1" applyFill="1" applyBorder="1" applyAlignment="1">
      <alignment vertical="center"/>
    </xf>
    <xf numFmtId="194" fontId="13" fillId="36" borderId="10" xfId="45" applyNumberFormat="1" applyFont="1" applyFill="1" applyBorder="1" applyAlignment="1">
      <alignment vertical="center"/>
    </xf>
    <xf numFmtId="194" fontId="15" fillId="34" borderId="10" xfId="45" applyNumberFormat="1" applyFont="1" applyFill="1" applyBorder="1" applyAlignment="1">
      <alignment vertical="center"/>
    </xf>
    <xf numFmtId="194" fontId="10" fillId="34" borderId="10" xfId="45" applyNumberFormat="1" applyFont="1" applyFill="1" applyBorder="1" applyAlignment="1">
      <alignment vertical="center"/>
    </xf>
    <xf numFmtId="194" fontId="13" fillId="34" borderId="10" xfId="45" applyNumberFormat="1" applyFont="1" applyFill="1" applyBorder="1" applyAlignment="1">
      <alignment vertical="center"/>
    </xf>
    <xf numFmtId="194" fontId="15" fillId="36" borderId="10" xfId="45" applyNumberFormat="1" applyFont="1" applyFill="1" applyBorder="1" applyAlignment="1">
      <alignment vertical="center"/>
    </xf>
    <xf numFmtId="194" fontId="15" fillId="0" borderId="10" xfId="45" applyNumberFormat="1" applyFont="1" applyFill="1" applyBorder="1" applyAlignment="1">
      <alignment vertical="center"/>
    </xf>
    <xf numFmtId="194" fontId="15" fillId="33" borderId="10" xfId="45" applyNumberFormat="1" applyFont="1" applyFill="1" applyBorder="1" applyAlignment="1">
      <alignment vertical="center"/>
    </xf>
    <xf numFmtId="0" fontId="13" fillId="0" borderId="10" xfId="61" applyFont="1" applyFill="1" applyBorder="1" applyAlignment="1" applyProtection="1">
      <alignment vertical="center" wrapText="1"/>
      <protection locked="0"/>
    </xf>
    <xf numFmtId="194" fontId="13" fillId="5" borderId="10" xfId="45" applyNumberFormat="1" applyFont="1" applyFill="1" applyBorder="1" applyAlignment="1">
      <alignment vertical="center" wrapText="1"/>
    </xf>
    <xf numFmtId="194" fontId="13" fillId="18" borderId="10" xfId="45" applyNumberFormat="1" applyFont="1" applyFill="1" applyBorder="1" applyAlignment="1">
      <alignment vertical="center"/>
    </xf>
    <xf numFmtId="194" fontId="13" fillId="34" borderId="10" xfId="45" applyNumberFormat="1" applyFont="1" applyFill="1" applyBorder="1" applyAlignment="1">
      <alignment vertical="center"/>
    </xf>
    <xf numFmtId="0" fontId="13" fillId="0" borderId="10" xfId="44" applyNumberFormat="1" applyFont="1" applyFill="1" applyBorder="1" applyAlignment="1">
      <alignment horizontal="left"/>
    </xf>
    <xf numFmtId="0" fontId="13" fillId="0" borderId="10" xfId="44" applyNumberFormat="1" applyFont="1" applyFill="1" applyBorder="1" applyAlignment="1">
      <alignment/>
    </xf>
    <xf numFmtId="164" fontId="19" fillId="0" borderId="0" xfId="44" applyNumberFormat="1" applyFont="1" applyAlignment="1">
      <alignment/>
    </xf>
    <xf numFmtId="194" fontId="19" fillId="0" borderId="0" xfId="45" applyNumberFormat="1" applyFont="1" applyAlignment="1">
      <alignment/>
    </xf>
    <xf numFmtId="194" fontId="13" fillId="0" borderId="0" xfId="45" applyNumberFormat="1" applyFont="1" applyAlignment="1">
      <alignment/>
    </xf>
    <xf numFmtId="164" fontId="13" fillId="0" borderId="0" xfId="44" applyNumberFormat="1" applyFont="1" applyAlignment="1">
      <alignment/>
    </xf>
    <xf numFmtId="0" fontId="17" fillId="0" borderId="0" xfId="61" applyFont="1">
      <alignment/>
      <protection/>
    </xf>
    <xf numFmtId="164" fontId="17" fillId="0" borderId="0" xfId="44" applyNumberFormat="1" applyFont="1" applyAlignment="1">
      <alignment/>
    </xf>
    <xf numFmtId="194" fontId="17" fillId="0" borderId="0" xfId="45" applyNumberFormat="1" applyFont="1" applyAlignment="1">
      <alignment/>
    </xf>
    <xf numFmtId="164" fontId="0" fillId="0" borderId="0" xfId="44" applyNumberFormat="1" applyFont="1" applyAlignment="1">
      <alignment/>
    </xf>
    <xf numFmtId="194" fontId="0" fillId="0" borderId="0" xfId="45" applyNumberFormat="1" applyFont="1" applyAlignment="1">
      <alignment/>
    </xf>
    <xf numFmtId="0" fontId="0" fillId="0" borderId="0" xfId="0" applyAlignment="1">
      <alignment horizontal="left"/>
    </xf>
    <xf numFmtId="0" fontId="0" fillId="0" borderId="0" xfId="0" applyAlignment="1">
      <alignment horizontal="left" vertical="center" wrapText="1"/>
    </xf>
    <xf numFmtId="0" fontId="0" fillId="0" borderId="0" xfId="0" applyAlignment="1">
      <alignment horizontal="center" vertical="center" wrapText="1"/>
    </xf>
    <xf numFmtId="0" fontId="42" fillId="0" borderId="0" xfId="63" applyFont="1" applyFill="1" applyAlignment="1">
      <alignment horizontal="left" vertical="center"/>
      <protection/>
    </xf>
    <xf numFmtId="0" fontId="13" fillId="0" borderId="0" xfId="0" applyFont="1" applyAlignment="1">
      <alignment horizontal="center" vertical="center" wrapText="1"/>
    </xf>
    <xf numFmtId="167" fontId="13" fillId="0" borderId="10" xfId="0" applyNumberFormat="1" applyFont="1" applyBorder="1" applyAlignment="1">
      <alignment horizontal="center" vertical="center" wrapText="1"/>
    </xf>
    <xf numFmtId="164" fontId="43" fillId="33" borderId="10" xfId="42" applyNumberFormat="1" applyFont="1" applyFill="1" applyBorder="1" applyAlignment="1" applyProtection="1">
      <alignment horizontal="right" vertical="center" wrapText="1"/>
      <protection/>
    </xf>
    <xf numFmtId="164" fontId="43" fillId="0" borderId="0" xfId="42" applyNumberFormat="1" applyFont="1" applyFill="1" applyBorder="1" applyAlignment="1" applyProtection="1">
      <alignment horizontal="left" vertical="center" wrapText="1"/>
      <protection/>
    </xf>
    <xf numFmtId="164" fontId="43" fillId="0" borderId="0" xfId="42" applyNumberFormat="1" applyFont="1" applyFill="1" applyBorder="1" applyAlignment="1" applyProtection="1">
      <alignment horizontal="center" vertical="center" wrapText="1"/>
      <protection/>
    </xf>
    <xf numFmtId="0" fontId="0" fillId="0" borderId="0" xfId="0" applyFont="1" applyFill="1" applyBorder="1" applyAlignment="1">
      <alignment/>
    </xf>
    <xf numFmtId="0" fontId="15" fillId="0" borderId="11" xfId="0" applyFont="1" applyFill="1" applyBorder="1" applyAlignment="1">
      <alignment horizontal="left" vertical="center" wrapText="1"/>
    </xf>
    <xf numFmtId="164" fontId="13" fillId="33" borderId="10" xfId="42" applyNumberFormat="1" applyFont="1" applyFill="1" applyBorder="1" applyAlignment="1">
      <alignment horizontal="right"/>
    </xf>
    <xf numFmtId="164" fontId="13" fillId="0" borderId="0" xfId="42" applyNumberFormat="1" applyFont="1" applyFill="1" applyBorder="1" applyAlignment="1">
      <alignment horizontal="left"/>
    </xf>
    <xf numFmtId="164" fontId="13" fillId="0" borderId="0" xfId="42" applyNumberFormat="1" applyFont="1" applyFill="1" applyBorder="1" applyAlignment="1">
      <alignment horizontal="right"/>
    </xf>
    <xf numFmtId="0" fontId="19" fillId="0" borderId="0" xfId="0" applyFont="1" applyFill="1" applyBorder="1" applyAlignment="1">
      <alignment/>
    </xf>
    <xf numFmtId="164" fontId="13" fillId="32" borderId="10" xfId="42" applyNumberFormat="1" applyFont="1" applyFill="1" applyBorder="1" applyAlignment="1">
      <alignment horizontal="right"/>
    </xf>
    <xf numFmtId="0" fontId="15" fillId="0" borderId="11" xfId="0" applyFont="1" applyFill="1" applyBorder="1" applyAlignment="1">
      <alignment horizontal="left" wrapText="1"/>
    </xf>
    <xf numFmtId="0" fontId="15" fillId="32" borderId="11" xfId="0" applyFont="1" applyFill="1" applyBorder="1" applyAlignment="1">
      <alignment horizontal="left" wrapText="1"/>
    </xf>
    <xf numFmtId="0" fontId="0" fillId="0" borderId="0" xfId="0" applyFill="1" applyBorder="1" applyAlignment="1">
      <alignment/>
    </xf>
    <xf numFmtId="164" fontId="13" fillId="37" borderId="10" xfId="42" applyNumberFormat="1" applyFont="1" applyFill="1" applyBorder="1" applyAlignment="1">
      <alignment wrapText="1"/>
    </xf>
    <xf numFmtId="164" fontId="13" fillId="37" borderId="10" xfId="42" applyNumberFormat="1" applyFont="1" applyFill="1" applyBorder="1" applyAlignment="1">
      <alignment horizontal="right"/>
    </xf>
    <xf numFmtId="164" fontId="13" fillId="32" borderId="10" xfId="42" applyNumberFormat="1" applyFont="1" applyFill="1" applyBorder="1" applyAlignment="1">
      <alignment wrapText="1"/>
    </xf>
    <xf numFmtId="0" fontId="15" fillId="0" borderId="10" xfId="60" applyFont="1" applyFill="1" applyBorder="1" applyAlignment="1">
      <alignment horizontal="center" wrapText="1"/>
      <protection/>
    </xf>
    <xf numFmtId="164" fontId="28" fillId="0" borderId="0" xfId="42" applyNumberFormat="1" applyFont="1" applyFill="1" applyBorder="1" applyAlignment="1">
      <alignment horizontal="right"/>
    </xf>
    <xf numFmtId="164" fontId="28" fillId="0" borderId="0" xfId="42" applyNumberFormat="1" applyFont="1" applyFill="1" applyBorder="1" applyAlignment="1">
      <alignment horizontal="left"/>
    </xf>
    <xf numFmtId="0" fontId="15" fillId="0" borderId="10" xfId="60" applyFont="1" applyFill="1" applyBorder="1" applyAlignment="1">
      <alignment/>
      <protection/>
    </xf>
    <xf numFmtId="0" fontId="15" fillId="32" borderId="10" xfId="60" applyFont="1" applyFill="1" applyBorder="1" applyAlignment="1">
      <alignment horizontal="center" wrapText="1"/>
      <protection/>
    </xf>
    <xf numFmtId="164" fontId="15" fillId="32" borderId="10" xfId="42" applyNumberFormat="1" applyFont="1" applyFill="1" applyBorder="1" applyAlignment="1">
      <alignment horizontal="left"/>
    </xf>
    <xf numFmtId="164" fontId="15" fillId="0" borderId="10" xfId="42" applyNumberFormat="1" applyFont="1" applyFill="1" applyBorder="1" applyAlignment="1">
      <alignment horizontal="left"/>
    </xf>
    <xf numFmtId="164" fontId="15" fillId="0" borderId="10" xfId="42" applyNumberFormat="1" applyFont="1" applyFill="1" applyBorder="1" applyAlignment="1">
      <alignment/>
    </xf>
    <xf numFmtId="164" fontId="13" fillId="5" borderId="10" xfId="42" applyNumberFormat="1" applyFont="1" applyFill="1" applyBorder="1" applyAlignment="1">
      <alignment horizontal="right"/>
    </xf>
    <xf numFmtId="0" fontId="0" fillId="0" borderId="10" xfId="0" applyBorder="1" applyAlignment="1">
      <alignment/>
    </xf>
    <xf numFmtId="0" fontId="0" fillId="0" borderId="0" xfId="0" applyFill="1" applyBorder="1" applyAlignment="1">
      <alignment horizontal="left"/>
    </xf>
    <xf numFmtId="0" fontId="36" fillId="0" borderId="0" xfId="63" applyFont="1" applyFill="1" applyAlignment="1">
      <alignment horizontal="left" vertical="top"/>
      <protection/>
    </xf>
    <xf numFmtId="0" fontId="0" fillId="0" borderId="0" xfId="0" applyAlignment="1">
      <alignment/>
    </xf>
    <xf numFmtId="0" fontId="10" fillId="0" borderId="0" xfId="0" applyFont="1" applyAlignment="1">
      <alignment/>
    </xf>
    <xf numFmtId="0" fontId="13" fillId="0" borderId="0" xfId="0" applyFont="1" applyAlignment="1">
      <alignment/>
    </xf>
    <xf numFmtId="0" fontId="0" fillId="0" borderId="0" xfId="0" applyFill="1" applyAlignment="1">
      <alignment/>
    </xf>
    <xf numFmtId="0" fontId="42" fillId="0" borderId="0" xfId="63" applyFont="1" applyFill="1" applyAlignment="1">
      <alignment horizontal="center"/>
      <protection/>
    </xf>
    <xf numFmtId="166" fontId="13" fillId="0" borderId="10" xfId="0" applyNumberFormat="1" applyFont="1" applyFill="1" applyBorder="1" applyAlignment="1">
      <alignment horizontal="center" vertical="center" wrapText="1"/>
    </xf>
    <xf numFmtId="166" fontId="13" fillId="0" borderId="0" xfId="0" applyNumberFormat="1" applyFont="1" applyAlignment="1">
      <alignment/>
    </xf>
    <xf numFmtId="166" fontId="19" fillId="0" borderId="0" xfId="0" applyNumberFormat="1" applyFont="1" applyAlignment="1">
      <alignment/>
    </xf>
    <xf numFmtId="164" fontId="8" fillId="33" borderId="10" xfId="42" applyNumberFormat="1" applyFont="1" applyFill="1" applyBorder="1" applyAlignment="1">
      <alignment vertical="center"/>
    </xf>
    <xf numFmtId="0" fontId="10" fillId="0" borderId="0" xfId="0" applyFont="1" applyFill="1" applyAlignment="1">
      <alignment/>
    </xf>
    <xf numFmtId="0" fontId="0" fillId="0" borderId="0" xfId="0" applyFont="1" applyFill="1" applyAlignment="1">
      <alignment/>
    </xf>
    <xf numFmtId="1" fontId="15" fillId="0" borderId="10" xfId="42" applyNumberFormat="1" applyFont="1" applyFill="1" applyBorder="1" applyAlignment="1">
      <alignment horizontal="right"/>
    </xf>
    <xf numFmtId="164" fontId="15" fillId="33" borderId="10" xfId="42" applyNumberFormat="1" applyFont="1" applyFill="1" applyBorder="1" applyAlignment="1">
      <alignment horizontal="center" vertical="center" wrapText="1"/>
    </xf>
    <xf numFmtId="164" fontId="15" fillId="0" borderId="10" xfId="42" applyNumberFormat="1" applyFont="1" applyFill="1" applyBorder="1" applyAlignment="1">
      <alignment horizontal="center" vertical="center" wrapText="1"/>
    </xf>
    <xf numFmtId="164" fontId="56" fillId="33" borderId="10" xfId="42" applyNumberFormat="1" applyFont="1" applyFill="1" applyBorder="1" applyAlignment="1">
      <alignment/>
    </xf>
    <xf numFmtId="164" fontId="15" fillId="0" borderId="10" xfId="42" applyNumberFormat="1" applyFont="1" applyBorder="1" applyAlignment="1">
      <alignment/>
    </xf>
    <xf numFmtId="164" fontId="56" fillId="0" borderId="10" xfId="42" applyNumberFormat="1" applyFont="1" applyFill="1" applyBorder="1" applyAlignment="1">
      <alignment/>
    </xf>
    <xf numFmtId="164" fontId="54" fillId="33" borderId="10" xfId="42" applyNumberFormat="1" applyFont="1" applyFill="1" applyBorder="1" applyAlignment="1" applyProtection="1">
      <alignment horizontal="right" vertical="center" wrapText="1"/>
      <protection/>
    </xf>
    <xf numFmtId="164" fontId="57" fillId="33" borderId="10" xfId="42" applyNumberFormat="1" applyFont="1" applyFill="1" applyBorder="1" applyAlignment="1" applyProtection="1">
      <alignment horizontal="right" vertical="center" wrapText="1"/>
      <protection/>
    </xf>
    <xf numFmtId="164" fontId="56" fillId="33" borderId="10" xfId="42" applyNumberFormat="1" applyFont="1" applyFill="1" applyBorder="1" applyAlignment="1">
      <alignment horizontal="right" vertical="center"/>
    </xf>
    <xf numFmtId="164" fontId="15" fillId="0" borderId="10" xfId="42" applyNumberFormat="1" applyFont="1" applyFill="1" applyBorder="1" applyAlignment="1" quotePrefix="1">
      <alignment horizontal="right" vertical="center"/>
    </xf>
    <xf numFmtId="164" fontId="15" fillId="0" borderId="10" xfId="42" applyNumberFormat="1" applyFont="1" applyFill="1" applyBorder="1" applyAlignment="1">
      <alignment/>
    </xf>
    <xf numFmtId="164" fontId="15" fillId="35" borderId="10" xfId="42" applyNumberFormat="1" applyFont="1" applyFill="1" applyBorder="1" applyAlignment="1">
      <alignment horizontal="right" vertical="center"/>
    </xf>
    <xf numFmtId="164" fontId="15" fillId="35" borderId="10" xfId="42" applyNumberFormat="1" applyFont="1" applyFill="1" applyBorder="1" applyAlignment="1">
      <alignment horizontal="right" vertical="center" wrapText="1"/>
    </xf>
    <xf numFmtId="164" fontId="15" fillId="35" borderId="10" xfId="42" applyNumberFormat="1" applyFont="1" applyFill="1" applyBorder="1" applyAlignment="1">
      <alignment horizontal="center" vertical="center" wrapText="1"/>
    </xf>
    <xf numFmtId="164" fontId="15" fillId="35" borderId="10" xfId="42" applyNumberFormat="1" applyFont="1" applyFill="1" applyBorder="1" applyAlignment="1" quotePrefix="1">
      <alignment horizontal="right" vertical="center"/>
    </xf>
    <xf numFmtId="164" fontId="56" fillId="35" borderId="10" xfId="42" applyNumberFormat="1" applyFont="1" applyFill="1" applyBorder="1" applyAlignment="1">
      <alignment/>
    </xf>
    <xf numFmtId="164" fontId="15" fillId="35" borderId="10" xfId="42" applyNumberFormat="1" applyFont="1" applyFill="1" applyBorder="1" applyAlignment="1">
      <alignment/>
    </xf>
    <xf numFmtId="0" fontId="15" fillId="0" borderId="11" xfId="0" applyFont="1" applyFill="1" applyBorder="1" applyAlignment="1" applyProtection="1">
      <alignment horizontal="left" vertical="center" wrapText="1"/>
      <protection locked="0"/>
    </xf>
    <xf numFmtId="0" fontId="15" fillId="0" borderId="11" xfId="60" applyFont="1" applyFill="1" applyBorder="1" applyAlignment="1">
      <alignment horizontal="left"/>
      <protection/>
    </xf>
    <xf numFmtId="0" fontId="13" fillId="0" borderId="11" xfId="60" applyFont="1" applyFill="1" applyBorder="1" applyAlignment="1">
      <alignment horizontal="center" wrapText="1"/>
      <protection/>
    </xf>
    <xf numFmtId="0" fontId="13" fillId="0" borderId="12" xfId="60" applyFont="1" applyFill="1" applyBorder="1" applyAlignment="1">
      <alignment horizontal="center" wrapText="1"/>
      <protection/>
    </xf>
    <xf numFmtId="164" fontId="13" fillId="0" borderId="12" xfId="42" applyNumberFormat="1" applyFont="1" applyFill="1" applyBorder="1" applyAlignment="1">
      <alignment horizontal="right" vertical="center"/>
    </xf>
    <xf numFmtId="164" fontId="13" fillId="0" borderId="12" xfId="42" applyNumberFormat="1" applyFont="1" applyFill="1" applyBorder="1" applyAlignment="1">
      <alignment horizontal="right" vertical="center" wrapText="1"/>
    </xf>
    <xf numFmtId="164" fontId="13" fillId="0" borderId="12" xfId="42" applyNumberFormat="1" applyFont="1" applyFill="1" applyBorder="1" applyAlignment="1">
      <alignment/>
    </xf>
    <xf numFmtId="164" fontId="13" fillId="0" borderId="13" xfId="42" applyNumberFormat="1" applyFont="1" applyFill="1" applyBorder="1" applyAlignment="1">
      <alignment/>
    </xf>
    <xf numFmtId="164" fontId="13" fillId="0" borderId="0" xfId="42" applyNumberFormat="1" applyFont="1" applyFill="1" applyBorder="1" applyAlignment="1">
      <alignment vertical="center" wrapText="1"/>
    </xf>
    <xf numFmtId="164" fontId="10" fillId="0" borderId="0" xfId="42" applyNumberFormat="1" applyFont="1" applyFill="1" applyAlignment="1">
      <alignment/>
    </xf>
    <xf numFmtId="0" fontId="0" fillId="0" borderId="0" xfId="63" applyFont="1" applyFill="1">
      <alignment/>
      <protection/>
    </xf>
    <xf numFmtId="165" fontId="0" fillId="0" borderId="0" xfId="63" applyNumberFormat="1" applyFont="1" applyFill="1">
      <alignment/>
      <protection/>
    </xf>
    <xf numFmtId="0" fontId="10" fillId="0" borderId="0" xfId="63" applyFont="1" applyFill="1">
      <alignment/>
      <protection/>
    </xf>
    <xf numFmtId="0" fontId="13" fillId="0" borderId="0" xfId="63" applyFont="1" applyFill="1">
      <alignment/>
      <protection/>
    </xf>
    <xf numFmtId="0" fontId="11" fillId="0" borderId="0" xfId="63" applyFont="1" applyFill="1" applyAlignment="1">
      <alignment vertical="center"/>
      <protection/>
    </xf>
    <xf numFmtId="0" fontId="42" fillId="0" borderId="0" xfId="63" applyFont="1" applyFill="1" applyAlignment="1">
      <alignment vertical="center"/>
      <protection/>
    </xf>
    <xf numFmtId="164" fontId="10" fillId="0" borderId="0" xfId="42" applyNumberFormat="1" applyFont="1" applyBorder="1" applyAlignment="1">
      <alignment/>
    </xf>
    <xf numFmtId="167" fontId="13" fillId="0" borderId="14" xfId="42" applyNumberFormat="1" applyFont="1" applyBorder="1" applyAlignment="1">
      <alignment horizontal="center" vertical="center" wrapText="1"/>
    </xf>
    <xf numFmtId="167" fontId="13" fillId="0" borderId="10" xfId="0" applyNumberFormat="1" applyFont="1" applyFill="1" applyBorder="1" applyAlignment="1">
      <alignment horizontal="center" vertical="center" wrapText="1"/>
    </xf>
    <xf numFmtId="164" fontId="11" fillId="33" borderId="10" xfId="42" applyNumberFormat="1" applyFont="1" applyFill="1" applyBorder="1" applyAlignment="1">
      <alignment horizontal="right"/>
    </xf>
    <xf numFmtId="164" fontId="25" fillId="0" borderId="10" xfId="42" applyNumberFormat="1" applyFont="1" applyFill="1" applyBorder="1" applyAlignment="1" applyProtection="1">
      <alignment horizontal="right" vertical="center" wrapText="1"/>
      <protection/>
    </xf>
    <xf numFmtId="164" fontId="13" fillId="0" borderId="10" xfId="42" applyNumberFormat="1" applyFont="1" applyFill="1" applyBorder="1" applyAlignment="1">
      <alignment horizontal="left" wrapText="1"/>
    </xf>
    <xf numFmtId="164" fontId="13" fillId="32" borderId="10" xfId="42" applyNumberFormat="1" applyFont="1" applyFill="1" applyBorder="1" applyAlignment="1">
      <alignment horizontal="right" vertical="center"/>
    </xf>
    <xf numFmtId="164" fontId="13" fillId="5" borderId="10" xfId="42" applyNumberFormat="1" applyFont="1" applyFill="1" applyBorder="1" applyAlignment="1">
      <alignment horizontal="right" vertical="center"/>
    </xf>
    <xf numFmtId="164" fontId="13" fillId="18" borderId="10" xfId="42" applyNumberFormat="1" applyFont="1" applyFill="1" applyBorder="1" applyAlignment="1">
      <alignment horizontal="right" vertical="center"/>
    </xf>
    <xf numFmtId="164" fontId="13" fillId="34" borderId="10" xfId="42" applyNumberFormat="1" applyFont="1" applyFill="1" applyBorder="1" applyAlignment="1">
      <alignment horizontal="right" vertical="center"/>
    </xf>
    <xf numFmtId="1" fontId="10" fillId="0" borderId="0" xfId="0" applyNumberFormat="1" applyFont="1" applyAlignment="1">
      <alignment/>
    </xf>
    <xf numFmtId="164" fontId="13" fillId="34" borderId="10" xfId="42" applyNumberFormat="1" applyFont="1" applyFill="1" applyBorder="1" applyAlignment="1">
      <alignment horizontal="right" vertical="center" wrapText="1"/>
    </xf>
    <xf numFmtId="164" fontId="13" fillId="35" borderId="10" xfId="42" applyNumberFormat="1" applyFont="1" applyFill="1" applyBorder="1" applyAlignment="1">
      <alignment horizontal="right" vertical="center" wrapText="1"/>
    </xf>
    <xf numFmtId="0" fontId="14" fillId="0" borderId="0" xfId="0" applyFont="1" applyAlignment="1">
      <alignment/>
    </xf>
    <xf numFmtId="164" fontId="13" fillId="32" borderId="10" xfId="42" applyNumberFormat="1" applyFont="1" applyFill="1" applyBorder="1" applyAlignment="1">
      <alignment horizontal="right" vertical="center" wrapText="1"/>
    </xf>
    <xf numFmtId="164" fontId="13" fillId="0" borderId="10" xfId="42" applyNumberFormat="1" applyFont="1" applyFill="1" applyBorder="1" applyAlignment="1">
      <alignment horizontal="left" vertical="center" wrapText="1"/>
    </xf>
    <xf numFmtId="0" fontId="13" fillId="33" borderId="10" xfId="42" applyNumberFormat="1" applyFont="1" applyFill="1" applyBorder="1" applyAlignment="1">
      <alignment horizontal="right" vertical="center" wrapText="1"/>
    </xf>
    <xf numFmtId="182" fontId="13" fillId="18" borderId="10" xfId="42" applyNumberFormat="1" applyFont="1" applyFill="1" applyBorder="1" applyAlignment="1">
      <alignment horizontal="right" vertical="center"/>
    </xf>
    <xf numFmtId="164" fontId="13" fillId="0" borderId="10" xfId="42" applyNumberFormat="1" applyFont="1" applyBorder="1" applyAlignment="1">
      <alignment horizontal="right" vertical="center"/>
    </xf>
    <xf numFmtId="0" fontId="11" fillId="0" borderId="0" xfId="63" applyFont="1" applyFill="1" applyAlignment="1">
      <alignment horizontal="center" vertical="center"/>
      <protection/>
    </xf>
    <xf numFmtId="0" fontId="19" fillId="0" borderId="0" xfId="0" applyFont="1" applyAlignment="1">
      <alignment horizontal="center" vertical="center" wrapText="1"/>
    </xf>
    <xf numFmtId="164" fontId="46" fillId="33" borderId="13" xfId="42" applyNumberFormat="1" applyFont="1" applyFill="1" applyBorder="1" applyAlignment="1">
      <alignment horizontal="right" vertical="center" wrapText="1"/>
    </xf>
    <xf numFmtId="0" fontId="0" fillId="0" borderId="0" xfId="0" applyFont="1" applyAlignment="1">
      <alignment horizontal="left"/>
    </xf>
    <xf numFmtId="164" fontId="13" fillId="33" borderId="13" xfId="42" applyNumberFormat="1" applyFont="1" applyFill="1" applyBorder="1" applyAlignment="1">
      <alignment horizontal="right" wrapText="1"/>
    </xf>
    <xf numFmtId="164" fontId="13" fillId="33" borderId="10" xfId="42" applyNumberFormat="1" applyFont="1" applyFill="1" applyBorder="1" applyAlignment="1">
      <alignment horizontal="right" wrapText="1"/>
    </xf>
    <xf numFmtId="164" fontId="13" fillId="36" borderId="10" xfId="42" applyNumberFormat="1" applyFont="1" applyFill="1" applyBorder="1" applyAlignment="1">
      <alignment wrapText="1"/>
    </xf>
    <xf numFmtId="164" fontId="13" fillId="34" borderId="0" xfId="42" applyNumberFormat="1" applyFont="1" applyFill="1" applyAlignment="1">
      <alignment/>
    </xf>
    <xf numFmtId="164" fontId="13" fillId="34" borderId="10" xfId="42" applyNumberFormat="1" applyFont="1" applyFill="1" applyBorder="1" applyAlignment="1">
      <alignment horizontal="right"/>
    </xf>
    <xf numFmtId="164" fontId="13" fillId="34" borderId="10" xfId="42" applyNumberFormat="1" applyFont="1" applyFill="1" applyBorder="1" applyAlignment="1">
      <alignment horizontal="right"/>
    </xf>
    <xf numFmtId="164" fontId="13" fillId="5" borderId="10" xfId="42" applyNumberFormat="1" applyFont="1" applyFill="1" applyBorder="1" applyAlignment="1">
      <alignment wrapText="1"/>
    </xf>
    <xf numFmtId="164" fontId="13" fillId="32" borderId="10" xfId="42" applyNumberFormat="1" applyFont="1" applyFill="1" applyBorder="1" applyAlignment="1">
      <alignment horizontal="right"/>
    </xf>
    <xf numFmtId="164" fontId="15" fillId="33" borderId="10" xfId="42" applyNumberFormat="1" applyFont="1" applyFill="1" applyBorder="1" applyAlignment="1">
      <alignment wrapText="1"/>
    </xf>
    <xf numFmtId="164" fontId="15" fillId="0" borderId="10" xfId="42" applyNumberFormat="1" applyFont="1" applyFill="1" applyBorder="1" applyAlignment="1">
      <alignment horizontal="right"/>
    </xf>
    <xf numFmtId="164" fontId="13" fillId="33" borderId="10" xfId="42" applyNumberFormat="1" applyFont="1" applyFill="1" applyBorder="1" applyAlignment="1" applyProtection="1">
      <alignment vertical="center" wrapText="1"/>
      <protection locked="0"/>
    </xf>
    <xf numFmtId="164" fontId="13" fillId="37" borderId="10" xfId="42" applyNumberFormat="1" applyFont="1" applyFill="1" applyBorder="1" applyAlignment="1" applyProtection="1">
      <alignment vertical="center" wrapText="1"/>
      <protection locked="0"/>
    </xf>
    <xf numFmtId="164" fontId="13" fillId="32" borderId="10" xfId="42" applyNumberFormat="1" applyFont="1" applyFill="1" applyBorder="1" applyAlignment="1" applyProtection="1">
      <alignment vertical="center" wrapText="1"/>
      <protection locked="0"/>
    </xf>
    <xf numFmtId="164" fontId="13" fillId="36" borderId="10" xfId="42" applyNumberFormat="1" applyFont="1" applyFill="1" applyBorder="1" applyAlignment="1">
      <alignment horizontal="right"/>
    </xf>
    <xf numFmtId="164" fontId="13" fillId="33" borderId="10" xfId="42" applyNumberFormat="1" applyFont="1" applyFill="1" applyBorder="1" applyAlignment="1" applyProtection="1">
      <alignment wrapText="1"/>
      <protection locked="0"/>
    </xf>
    <xf numFmtId="164" fontId="10" fillId="33" borderId="10" xfId="42" applyNumberFormat="1" applyFont="1" applyFill="1" applyBorder="1" applyAlignment="1">
      <alignment horizontal="right" wrapText="1"/>
    </xf>
    <xf numFmtId="164" fontId="13" fillId="0" borderId="0" xfId="42" applyNumberFormat="1" applyFont="1" applyFill="1" applyBorder="1" applyAlignment="1">
      <alignment/>
    </xf>
    <xf numFmtId="0" fontId="19" fillId="0" borderId="0" xfId="0" applyFont="1" applyFill="1" applyAlignment="1">
      <alignment horizontal="center" vertical="center" wrapText="1"/>
    </xf>
    <xf numFmtId="0" fontId="0" fillId="0" borderId="0" xfId="0" applyFill="1" applyAlignment="1">
      <alignment horizontal="center" vertical="center" wrapText="1"/>
    </xf>
    <xf numFmtId="0" fontId="0" fillId="0" borderId="0" xfId="0" applyFill="1" applyAlignment="1">
      <alignment horizontal="left"/>
    </xf>
    <xf numFmtId="0" fontId="13" fillId="0" borderId="10" xfId="0" applyFont="1" applyFill="1" applyBorder="1" applyAlignment="1" applyProtection="1">
      <alignment horizontal="center" vertical="center" wrapText="1"/>
      <protection locked="0"/>
    </xf>
    <xf numFmtId="164" fontId="42" fillId="33" borderId="10" xfId="42" applyNumberFormat="1" applyFont="1" applyFill="1" applyBorder="1" applyAlignment="1">
      <alignment horizontal="center" vertical="center" wrapText="1"/>
    </xf>
    <xf numFmtId="164" fontId="42" fillId="33" borderId="10" xfId="42" applyNumberFormat="1" applyFont="1" applyFill="1" applyBorder="1" applyAlignment="1" applyProtection="1">
      <alignment horizontal="right" vertical="center" wrapText="1"/>
      <protection/>
    </xf>
    <xf numFmtId="0" fontId="41" fillId="0" borderId="10" xfId="0" applyFont="1" applyFill="1" applyBorder="1" applyAlignment="1" applyProtection="1">
      <alignment horizontal="center" vertical="center" wrapText="1"/>
      <protection locked="0"/>
    </xf>
    <xf numFmtId="0" fontId="41" fillId="0" borderId="10" xfId="0" applyFont="1" applyFill="1" applyBorder="1" applyAlignment="1" applyProtection="1">
      <alignment horizontal="left" vertical="center" wrapText="1"/>
      <protection locked="0"/>
    </xf>
    <xf numFmtId="164" fontId="41" fillId="39" borderId="10" xfId="42" applyNumberFormat="1" applyFont="1" applyFill="1" applyBorder="1" applyAlignment="1">
      <alignment horizontal="right" vertical="center"/>
    </xf>
    <xf numFmtId="164" fontId="41" fillId="0" borderId="10" xfId="42" applyNumberFormat="1" applyFont="1" applyFill="1" applyBorder="1" applyAlignment="1">
      <alignment horizontal="right" vertical="center"/>
    </xf>
    <xf numFmtId="164" fontId="41" fillId="0" borderId="10" xfId="42" applyNumberFormat="1" applyFont="1" applyFill="1" applyBorder="1" applyAlignment="1" quotePrefix="1">
      <alignment horizontal="right" vertical="center"/>
    </xf>
    <xf numFmtId="164" fontId="41" fillId="0" borderId="10" xfId="42" applyNumberFormat="1" applyFont="1" applyFill="1" applyBorder="1" applyAlignment="1" applyProtection="1">
      <alignment horizontal="center" vertical="center" wrapText="1"/>
      <protection/>
    </xf>
    <xf numFmtId="0" fontId="41" fillId="0" borderId="10" xfId="0" applyFont="1" applyFill="1" applyBorder="1" applyAlignment="1" applyProtection="1">
      <alignment horizontal="justify" vertical="center" wrapText="1"/>
      <protection locked="0"/>
    </xf>
    <xf numFmtId="164" fontId="41" fillId="37" borderId="10" xfId="42" applyNumberFormat="1" applyFont="1" applyFill="1" applyBorder="1" applyAlignment="1">
      <alignment horizontal="right" vertical="center"/>
    </xf>
    <xf numFmtId="0" fontId="41" fillId="0" borderId="10" xfId="59" applyFont="1" applyFill="1" applyBorder="1" applyAlignment="1" applyProtection="1">
      <alignment horizontal="justify" vertical="center"/>
      <protection locked="0"/>
    </xf>
    <xf numFmtId="0" fontId="41" fillId="0" borderId="10" xfId="0" applyFont="1" applyFill="1" applyBorder="1" applyAlignment="1">
      <alignment horizontal="justify" vertical="center" wrapText="1"/>
    </xf>
    <xf numFmtId="0" fontId="41" fillId="0" borderId="10" xfId="0" applyFont="1" applyFill="1" applyBorder="1" applyAlignment="1">
      <alignment horizontal="left"/>
    </xf>
    <xf numFmtId="164" fontId="42" fillId="39" borderId="10" xfId="42" applyNumberFormat="1" applyFont="1" applyFill="1" applyBorder="1" applyAlignment="1">
      <alignment horizontal="center" vertical="center" wrapText="1"/>
    </xf>
    <xf numFmtId="164" fontId="58" fillId="39" borderId="10" xfId="42" applyNumberFormat="1" applyFont="1" applyFill="1" applyBorder="1" applyAlignment="1" applyProtection="1">
      <alignment horizontal="center" vertical="center" wrapText="1"/>
      <protection/>
    </xf>
    <xf numFmtId="1" fontId="41" fillId="0" borderId="10" xfId="0" applyNumberFormat="1" applyFont="1" applyFill="1" applyBorder="1" applyAlignment="1">
      <alignment horizontal="center" vertical="center" wrapText="1"/>
    </xf>
    <xf numFmtId="0" fontId="41" fillId="0" borderId="10" xfId="0" applyFont="1" applyFill="1" applyBorder="1" applyAlignment="1">
      <alignment horizontal="left" vertical="center" wrapText="1"/>
    </xf>
    <xf numFmtId="164" fontId="41" fillId="10" borderId="10" xfId="42" applyNumberFormat="1" applyFont="1" applyFill="1" applyBorder="1" applyAlignment="1">
      <alignment horizontal="right" vertical="center"/>
    </xf>
    <xf numFmtId="0" fontId="41" fillId="0" borderId="11" xfId="0" applyFont="1" applyFill="1" applyBorder="1" applyAlignment="1">
      <alignment horizontal="left" vertical="center" wrapText="1"/>
    </xf>
    <xf numFmtId="164" fontId="58" fillId="33" borderId="10" xfId="42" applyNumberFormat="1" applyFont="1" applyFill="1" applyBorder="1" applyAlignment="1" applyProtection="1">
      <alignment horizontal="center" vertical="center" wrapText="1"/>
      <protection/>
    </xf>
    <xf numFmtId="0" fontId="41" fillId="0" borderId="11" xfId="59" applyFont="1" applyFill="1" applyBorder="1" applyAlignment="1">
      <alignment horizontal="center" vertical="center" wrapText="1"/>
      <protection/>
    </xf>
    <xf numFmtId="0" fontId="41" fillId="0" borderId="10" xfId="0" applyFont="1" applyFill="1" applyBorder="1" applyAlignment="1">
      <alignment vertical="center" wrapText="1"/>
    </xf>
    <xf numFmtId="164" fontId="41" fillId="5" borderId="10" xfId="42" applyNumberFormat="1" applyFont="1" applyFill="1" applyBorder="1" applyAlignment="1">
      <alignment horizontal="right" vertical="center"/>
    </xf>
    <xf numFmtId="0" fontId="41" fillId="0" borderId="10" xfId="42" applyNumberFormat="1" applyFont="1" applyFill="1" applyBorder="1" applyAlignment="1">
      <alignment horizontal="right" vertical="center"/>
    </xf>
    <xf numFmtId="0" fontId="41" fillId="35" borderId="10" xfId="0" applyFont="1" applyFill="1" applyBorder="1" applyAlignment="1">
      <alignment vertical="center" wrapText="1"/>
    </xf>
    <xf numFmtId="0" fontId="41" fillId="0" borderId="10" xfId="0" applyFont="1" applyFill="1" applyBorder="1" applyAlignment="1" applyProtection="1">
      <alignment vertical="center" wrapText="1"/>
      <protection locked="0"/>
    </xf>
    <xf numFmtId="164" fontId="41" fillId="34" borderId="10" xfId="42" applyNumberFormat="1" applyFont="1" applyFill="1" applyBorder="1" applyAlignment="1">
      <alignment horizontal="right" vertical="center"/>
    </xf>
    <xf numFmtId="164" fontId="41" fillId="34" borderId="10" xfId="42" applyNumberFormat="1" applyFont="1" applyFill="1" applyBorder="1" applyAlignment="1">
      <alignment horizontal="right" vertical="center"/>
    </xf>
    <xf numFmtId="0" fontId="41" fillId="0" borderId="10" xfId="60" applyFont="1" applyFill="1" applyBorder="1" applyAlignment="1">
      <alignment vertical="center" wrapText="1"/>
      <protection/>
    </xf>
    <xf numFmtId="0" fontId="41" fillId="0" borderId="10" xfId="42" applyNumberFormat="1" applyFont="1" applyFill="1" applyBorder="1" applyAlignment="1">
      <alignment horizontal="left" vertical="center" wrapText="1"/>
    </xf>
    <xf numFmtId="0" fontId="41" fillId="0" borderId="10" xfId="42" applyNumberFormat="1" applyFont="1" applyFill="1" applyBorder="1" applyAlignment="1">
      <alignment vertical="center" wrapText="1"/>
    </xf>
    <xf numFmtId="0" fontId="41" fillId="0" borderId="10" xfId="42" applyNumberFormat="1" applyFont="1" applyFill="1" applyBorder="1" applyAlignment="1">
      <alignment vertical="center"/>
    </xf>
    <xf numFmtId="164" fontId="10" fillId="0" borderId="10" xfId="42" applyNumberFormat="1" applyFont="1" applyFill="1" applyBorder="1" applyAlignment="1">
      <alignment horizontal="right" vertical="center" wrapText="1"/>
    </xf>
    <xf numFmtId="1" fontId="13" fillId="0" borderId="10" xfId="0" applyNumberFormat="1" applyFont="1" applyFill="1" applyBorder="1" applyAlignment="1">
      <alignment horizontal="justify" vertical="center" wrapText="1"/>
    </xf>
    <xf numFmtId="0" fontId="13" fillId="0" borderId="10" xfId="60" applyFont="1" applyFill="1" applyBorder="1" applyAlignment="1">
      <alignment horizontal="justify" vertical="center" wrapText="1"/>
      <protection/>
    </xf>
    <xf numFmtId="0" fontId="13" fillId="0" borderId="10" xfId="0" applyFont="1" applyBorder="1" applyAlignment="1">
      <alignment horizontal="justify" vertical="center"/>
    </xf>
    <xf numFmtId="164" fontId="42" fillId="33" borderId="10" xfId="42" applyNumberFormat="1" applyFont="1" applyFill="1" applyBorder="1" applyAlignment="1">
      <alignment horizontal="right" vertical="center"/>
    </xf>
    <xf numFmtId="43" fontId="42" fillId="33" borderId="10" xfId="42" applyFont="1" applyFill="1" applyBorder="1" applyAlignment="1">
      <alignment horizontal="right" vertical="center"/>
    </xf>
    <xf numFmtId="0" fontId="41" fillId="0" borderId="0" xfId="0" applyFont="1" applyBorder="1" applyAlignment="1">
      <alignment/>
    </xf>
    <xf numFmtId="0" fontId="35" fillId="0" borderId="0" xfId="0" applyFont="1" applyBorder="1" applyAlignment="1">
      <alignment/>
    </xf>
    <xf numFmtId="164" fontId="41" fillId="0" borderId="10" xfId="42" applyNumberFormat="1" applyFont="1" applyFill="1" applyBorder="1" applyAlignment="1" applyProtection="1">
      <alignment horizontal="right" vertical="center" wrapText="1"/>
      <protection/>
    </xf>
    <xf numFmtId="43" fontId="41" fillId="0" borderId="10" xfId="42" applyFont="1" applyFill="1" applyBorder="1" applyAlignment="1" applyProtection="1">
      <alignment horizontal="right" vertical="center" wrapText="1"/>
      <protection/>
    </xf>
    <xf numFmtId="43" fontId="41" fillId="0" borderId="10" xfId="42" applyFont="1" applyFill="1" applyBorder="1" applyAlignment="1">
      <alignment horizontal="right" vertical="center"/>
    </xf>
    <xf numFmtId="164" fontId="41" fillId="0" borderId="0" xfId="0" applyNumberFormat="1" applyFont="1" applyBorder="1" applyAlignment="1">
      <alignment/>
    </xf>
    <xf numFmtId="0" fontId="59" fillId="0" borderId="0" xfId="0" applyFont="1" applyBorder="1" applyAlignment="1">
      <alignment/>
    </xf>
    <xf numFmtId="0" fontId="41" fillId="0" borderId="10" xfId="60" applyFont="1" applyFill="1" applyBorder="1" applyAlignment="1">
      <alignment horizontal="center" vertical="center" wrapText="1"/>
      <protection/>
    </xf>
    <xf numFmtId="0" fontId="41" fillId="0" borderId="10" xfId="0" applyFont="1" applyBorder="1" applyAlignment="1">
      <alignment horizontal="justify" vertical="center"/>
    </xf>
    <xf numFmtId="164" fontId="42" fillId="33" borderId="10" xfId="42" applyNumberFormat="1" applyFont="1" applyFill="1" applyBorder="1" applyAlignment="1">
      <alignment vertical="center"/>
    </xf>
    <xf numFmtId="164" fontId="41" fillId="0" borderId="10" xfId="42" applyNumberFormat="1" applyFont="1" applyBorder="1" applyAlignment="1">
      <alignment vertical="center"/>
    </xf>
    <xf numFmtId="164" fontId="41" fillId="38" borderId="10" xfId="42" applyNumberFormat="1" applyFont="1" applyFill="1" applyBorder="1" applyAlignment="1">
      <alignment vertical="center"/>
    </xf>
    <xf numFmtId="164" fontId="41" fillId="0" borderId="10" xfId="42" applyNumberFormat="1" applyFont="1" applyFill="1" applyBorder="1" applyAlignment="1">
      <alignment vertical="center"/>
    </xf>
    <xf numFmtId="164" fontId="42" fillId="34" borderId="10" xfId="42" applyNumberFormat="1" applyFont="1" applyFill="1" applyBorder="1" applyAlignment="1">
      <alignment vertical="center"/>
    </xf>
    <xf numFmtId="164" fontId="41" fillId="34" borderId="10" xfId="42" applyNumberFormat="1" applyFont="1" applyFill="1" applyBorder="1" applyAlignment="1">
      <alignment vertical="center"/>
    </xf>
    <xf numFmtId="0" fontId="41" fillId="0" borderId="10" xfId="0" applyFont="1" applyFill="1" applyBorder="1" applyAlignment="1">
      <alignment horizontal="justify" vertical="center"/>
    </xf>
    <xf numFmtId="164" fontId="41" fillId="37" borderId="10" xfId="42" applyNumberFormat="1" applyFont="1" applyFill="1" applyBorder="1" applyAlignment="1">
      <alignment vertical="center"/>
    </xf>
    <xf numFmtId="0" fontId="60" fillId="0" borderId="0" xfId="0" applyFont="1" applyBorder="1" applyAlignment="1">
      <alignment/>
    </xf>
    <xf numFmtId="0" fontId="41" fillId="0" borderId="0" xfId="0" applyFont="1" applyFill="1" applyBorder="1" applyAlignment="1">
      <alignment/>
    </xf>
    <xf numFmtId="0" fontId="59" fillId="0" borderId="0" xfId="0" applyFont="1" applyFill="1" applyBorder="1" applyAlignment="1">
      <alignment/>
    </xf>
    <xf numFmtId="0" fontId="13" fillId="32" borderId="10" xfId="0" applyFont="1" applyFill="1" applyBorder="1" applyAlignment="1" quotePrefix="1">
      <alignment horizontal="center" vertical="center"/>
    </xf>
    <xf numFmtId="0" fontId="13" fillId="0" borderId="10" xfId="0" applyFont="1" applyBorder="1" applyAlignment="1" quotePrefix="1">
      <alignment horizontal="center" vertical="center"/>
    </xf>
    <xf numFmtId="0" fontId="22" fillId="0" borderId="10" xfId="0" applyFont="1" applyBorder="1" applyAlignment="1" quotePrefix="1">
      <alignment horizontal="center" vertical="center"/>
    </xf>
    <xf numFmtId="0" fontId="13" fillId="0" borderId="10" xfId="0" applyFont="1" applyFill="1" applyBorder="1" applyAlignment="1" quotePrefix="1">
      <alignment horizontal="center" vertical="center"/>
    </xf>
    <xf numFmtId="0" fontId="11" fillId="0" borderId="10" xfId="0" applyFont="1" applyBorder="1" applyAlignment="1" quotePrefix="1">
      <alignment horizontal="center" vertical="center"/>
    </xf>
    <xf numFmtId="0" fontId="13" fillId="0" borderId="10" xfId="0" applyFont="1" applyFill="1" applyBorder="1" applyAlignment="1" quotePrefix="1">
      <alignment horizontal="center"/>
    </xf>
    <xf numFmtId="0" fontId="15" fillId="0" borderId="10" xfId="0" applyFont="1" applyFill="1" applyBorder="1" applyAlignment="1">
      <alignment horizontal="center"/>
    </xf>
    <xf numFmtId="1" fontId="13" fillId="0" borderId="10" xfId="0" applyNumberFormat="1" applyFont="1" applyFill="1" applyBorder="1" applyAlignment="1">
      <alignment horizontal="center"/>
    </xf>
    <xf numFmtId="0" fontId="22" fillId="0" borderId="10" xfId="59" applyFont="1" applyFill="1" applyBorder="1" applyAlignment="1">
      <alignment horizontal="center"/>
      <protection/>
    </xf>
    <xf numFmtId="0" fontId="13" fillId="0" borderId="11" xfId="0" applyFont="1" applyFill="1" applyBorder="1" applyAlignment="1" applyProtection="1">
      <alignment horizontal="justify" vertical="center" wrapText="1"/>
      <protection locked="0"/>
    </xf>
    <xf numFmtId="0" fontId="20" fillId="0" borderId="0" xfId="0" applyFont="1" applyBorder="1" applyAlignment="1">
      <alignment horizontal="center" vertical="center"/>
    </xf>
    <xf numFmtId="164" fontId="13" fillId="0" borderId="13" xfId="42" applyNumberFormat="1" applyFont="1" applyFill="1" applyBorder="1" applyAlignment="1">
      <alignment horizontal="center" vertical="center"/>
    </xf>
    <xf numFmtId="164" fontId="13" fillId="34" borderId="10" xfId="42" applyNumberFormat="1" applyFont="1" applyFill="1" applyBorder="1" applyAlignment="1">
      <alignment horizontal="center" vertical="center" wrapText="1"/>
    </xf>
    <xf numFmtId="0" fontId="22" fillId="0" borderId="0" xfId="0" applyFont="1" applyFill="1" applyBorder="1" applyAlignment="1">
      <alignment/>
    </xf>
    <xf numFmtId="164" fontId="8" fillId="34" borderId="10" xfId="42" applyNumberFormat="1" applyFont="1" applyFill="1" applyBorder="1" applyAlignment="1">
      <alignment horizontal="right" vertical="center" wrapText="1"/>
    </xf>
    <xf numFmtId="164" fontId="46" fillId="34" borderId="10" xfId="42" applyNumberFormat="1" applyFont="1" applyFill="1" applyBorder="1" applyAlignment="1">
      <alignment horizontal="right" vertical="center" wrapText="1"/>
    </xf>
    <xf numFmtId="43" fontId="46" fillId="34" borderId="10" xfId="42" applyFont="1" applyFill="1" applyBorder="1" applyAlignment="1">
      <alignment horizontal="right" vertical="center" wrapText="1"/>
    </xf>
    <xf numFmtId="164" fontId="13" fillId="34" borderId="13" xfId="42" applyNumberFormat="1" applyFont="1" applyFill="1" applyBorder="1" applyAlignment="1">
      <alignment horizontal="right" wrapText="1"/>
    </xf>
    <xf numFmtId="164" fontId="13" fillId="34" borderId="10" xfId="42" applyNumberFormat="1" applyFont="1" applyFill="1" applyBorder="1" applyAlignment="1">
      <alignment horizontal="right" wrapText="1"/>
    </xf>
    <xf numFmtId="164" fontId="11" fillId="34" borderId="13" xfId="42" applyNumberFormat="1" applyFont="1" applyFill="1" applyBorder="1" applyAlignment="1">
      <alignment horizontal="right" vertical="center" wrapText="1"/>
    </xf>
    <xf numFmtId="194" fontId="8" fillId="34" borderId="10" xfId="45" applyNumberFormat="1" applyFont="1" applyFill="1" applyBorder="1" applyAlignment="1" applyProtection="1">
      <alignment vertical="center" wrapText="1"/>
      <protection/>
    </xf>
    <xf numFmtId="164" fontId="41" fillId="33" borderId="10" xfId="42" applyNumberFormat="1" applyFont="1" applyFill="1" applyBorder="1" applyAlignment="1">
      <alignment horizontal="right" vertical="center"/>
    </xf>
    <xf numFmtId="164" fontId="41" fillId="36" borderId="10" xfId="42" applyNumberFormat="1" applyFont="1" applyFill="1" applyBorder="1" applyAlignment="1">
      <alignment horizontal="right" vertical="center"/>
    </xf>
    <xf numFmtId="164" fontId="42" fillId="37" borderId="10" xfId="42" applyNumberFormat="1" applyFont="1" applyFill="1" applyBorder="1" applyAlignment="1">
      <alignment horizontal="right" vertical="center"/>
    </xf>
    <xf numFmtId="164" fontId="11" fillId="34" borderId="10" xfId="42" applyNumberFormat="1" applyFont="1" applyFill="1" applyBorder="1" applyAlignment="1">
      <alignment horizontal="right" vertical="center"/>
    </xf>
    <xf numFmtId="164" fontId="12" fillId="39" borderId="10" xfId="42" applyNumberFormat="1" applyFont="1" applyFill="1" applyBorder="1" applyAlignment="1" applyProtection="1">
      <alignment horizontal="center" vertical="center" wrapText="1"/>
      <protection/>
    </xf>
    <xf numFmtId="164" fontId="12" fillId="37" borderId="10" xfId="42" applyNumberFormat="1" applyFont="1" applyFill="1" applyBorder="1" applyAlignment="1" applyProtection="1">
      <alignment horizontal="center" vertical="center" wrapText="1"/>
      <protection/>
    </xf>
    <xf numFmtId="164" fontId="13" fillId="39" borderId="10" xfId="42" applyNumberFormat="1" applyFont="1" applyFill="1" applyBorder="1" applyAlignment="1">
      <alignment wrapText="1"/>
    </xf>
    <xf numFmtId="0" fontId="61" fillId="0" borderId="0" xfId="61" applyFont="1">
      <alignment/>
      <protection/>
    </xf>
    <xf numFmtId="0" fontId="63" fillId="0" borderId="0" xfId="0" applyFont="1" applyAlignment="1">
      <alignment/>
    </xf>
    <xf numFmtId="164" fontId="61" fillId="0" borderId="0" xfId="44" applyNumberFormat="1" applyFont="1" applyAlignment="1">
      <alignment/>
    </xf>
    <xf numFmtId="194" fontId="61" fillId="0" borderId="0" xfId="45" applyNumberFormat="1" applyFont="1" applyAlignment="1">
      <alignment/>
    </xf>
    <xf numFmtId="165" fontId="0" fillId="0" borderId="0" xfId="0" applyNumberFormat="1" applyAlignment="1">
      <alignment vertical="center"/>
    </xf>
    <xf numFmtId="165" fontId="8" fillId="39" borderId="10" xfId="63" applyNumberFormat="1" applyFont="1" applyFill="1" applyBorder="1" applyAlignment="1">
      <alignment horizontal="left" vertical="center" wrapText="1"/>
      <protection/>
    </xf>
    <xf numFmtId="164" fontId="8" fillId="39" borderId="10" xfId="42" applyNumberFormat="1" applyFont="1" applyFill="1" applyBorder="1" applyAlignment="1">
      <alignment vertical="center"/>
    </xf>
    <xf numFmtId="165" fontId="10" fillId="0" borderId="10" xfId="59" applyNumberFormat="1" applyFont="1" applyFill="1" applyBorder="1" applyAlignment="1" applyProtection="1">
      <alignment horizontal="justify" vertical="center"/>
      <protection locked="0"/>
    </xf>
    <xf numFmtId="165" fontId="10" fillId="0" borderId="10" xfId="0" applyNumberFormat="1" applyFont="1" applyFill="1" applyBorder="1" applyAlignment="1" applyProtection="1">
      <alignment horizontal="justify" vertical="center" wrapText="1"/>
      <protection locked="0"/>
    </xf>
    <xf numFmtId="165" fontId="10" fillId="0" borderId="10" xfId="0" applyNumberFormat="1" applyFont="1" applyFill="1" applyBorder="1" applyAlignment="1">
      <alignment horizontal="justify" vertical="center" wrapText="1"/>
    </xf>
    <xf numFmtId="165" fontId="10" fillId="0" borderId="10" xfId="0" applyNumberFormat="1" applyFont="1" applyFill="1" applyBorder="1" applyAlignment="1">
      <alignment horizontal="left" vertical="center"/>
    </xf>
    <xf numFmtId="165" fontId="43" fillId="39" borderId="10" xfId="63" applyNumberFormat="1" applyFont="1" applyFill="1" applyBorder="1" applyAlignment="1">
      <alignment horizontal="left" vertical="center" wrapText="1"/>
      <protection/>
    </xf>
    <xf numFmtId="181" fontId="54" fillId="33" borderId="10" xfId="42" applyNumberFormat="1" applyFont="1" applyFill="1" applyBorder="1" applyAlignment="1" applyProtection="1">
      <alignment horizontal="right" vertical="center" wrapText="1"/>
      <protection/>
    </xf>
    <xf numFmtId="165" fontId="10" fillId="0" borderId="11" xfId="0" applyNumberFormat="1" applyFont="1" applyFill="1" applyBorder="1" applyAlignment="1">
      <alignment horizontal="left" vertical="center" wrapText="1"/>
    </xf>
    <xf numFmtId="165" fontId="10" fillId="35" borderId="11" xfId="0" applyNumberFormat="1" applyFont="1" applyFill="1" applyBorder="1" applyAlignment="1">
      <alignment horizontal="left" vertical="center" wrapText="1"/>
    </xf>
    <xf numFmtId="165" fontId="10" fillId="35" borderId="11" xfId="0" applyNumberFormat="1" applyFont="1" applyFill="1" applyBorder="1" applyAlignment="1" applyProtection="1">
      <alignment horizontal="left" vertical="center" wrapText="1"/>
      <protection locked="0"/>
    </xf>
    <xf numFmtId="165" fontId="10" fillId="0" borderId="10" xfId="60" applyNumberFormat="1" applyFont="1" applyFill="1" applyBorder="1" applyAlignment="1">
      <alignment vertical="center"/>
      <protection/>
    </xf>
    <xf numFmtId="165" fontId="10" fillId="35" borderId="10" xfId="60" applyNumberFormat="1" applyFont="1" applyFill="1" applyBorder="1" applyAlignment="1">
      <alignment vertical="center"/>
      <protection/>
    </xf>
    <xf numFmtId="165" fontId="10" fillId="0" borderId="10" xfId="60" applyNumberFormat="1" applyFont="1" applyFill="1" applyBorder="1" applyAlignment="1">
      <alignment horizontal="left" vertical="center"/>
      <protection/>
    </xf>
    <xf numFmtId="165" fontId="10" fillId="35" borderId="10" xfId="42" applyNumberFormat="1" applyFont="1" applyFill="1" applyBorder="1" applyAlignment="1">
      <alignment horizontal="left" vertical="center"/>
    </xf>
    <xf numFmtId="165" fontId="10" fillId="35" borderId="10" xfId="42" applyNumberFormat="1" applyFont="1" applyFill="1" applyBorder="1" applyAlignment="1">
      <alignment vertical="center"/>
    </xf>
    <xf numFmtId="165" fontId="13" fillId="0" borderId="12" xfId="60" applyNumberFormat="1" applyFont="1" applyFill="1" applyBorder="1" applyAlignment="1">
      <alignment horizontal="center" vertical="center" wrapText="1"/>
      <protection/>
    </xf>
    <xf numFmtId="165" fontId="0" fillId="0" borderId="0" xfId="0" applyNumberFormat="1" applyAlignment="1">
      <alignment horizontal="center" vertical="center" wrapText="1"/>
    </xf>
    <xf numFmtId="165" fontId="13" fillId="0" borderId="0" xfId="0" applyNumberFormat="1" applyFont="1" applyFill="1" applyAlignment="1">
      <alignment vertical="center"/>
    </xf>
    <xf numFmtId="165" fontId="0" fillId="5" borderId="0" xfId="59" applyNumberFormat="1" applyFont="1" applyFill="1" applyAlignment="1">
      <alignment vertical="center"/>
      <protection/>
    </xf>
    <xf numFmtId="165" fontId="13" fillId="34" borderId="0" xfId="0" applyNumberFormat="1" applyFont="1" applyFill="1" applyAlignment="1">
      <alignment vertical="center"/>
    </xf>
    <xf numFmtId="165" fontId="13" fillId="35" borderId="0" xfId="0" applyNumberFormat="1" applyFont="1" applyFill="1" applyAlignment="1">
      <alignment vertical="center"/>
    </xf>
    <xf numFmtId="165" fontId="3" fillId="37" borderId="0" xfId="0" applyNumberFormat="1" applyFont="1" applyFill="1" applyAlignment="1">
      <alignment vertical="center"/>
    </xf>
    <xf numFmtId="165" fontId="10" fillId="0" borderId="0" xfId="0" applyNumberFormat="1" applyFont="1" applyFill="1" applyAlignment="1">
      <alignment vertical="center"/>
    </xf>
    <xf numFmtId="165" fontId="0" fillId="0" borderId="0" xfId="63" applyNumberFormat="1" applyFont="1" applyFill="1" applyAlignment="1">
      <alignment vertical="center"/>
      <protection/>
    </xf>
    <xf numFmtId="165" fontId="0" fillId="0" borderId="0" xfId="0" applyNumberFormat="1" applyFill="1" applyAlignment="1">
      <alignment vertical="center"/>
    </xf>
    <xf numFmtId="164" fontId="11" fillId="33" borderId="10" xfId="42" applyNumberFormat="1" applyFont="1" applyFill="1" applyBorder="1" applyAlignment="1">
      <alignment horizontal="center" vertical="center" wrapText="1"/>
    </xf>
    <xf numFmtId="164" fontId="11" fillId="33" borderId="10" xfId="42" applyNumberFormat="1" applyFont="1" applyFill="1" applyBorder="1" applyAlignment="1" applyProtection="1">
      <alignment horizontal="right" vertical="center" wrapText="1"/>
      <protection/>
    </xf>
    <xf numFmtId="1" fontId="36" fillId="33" borderId="10" xfId="42" applyNumberFormat="1" applyFont="1" applyFill="1" applyBorder="1" applyAlignment="1" applyProtection="1">
      <alignment horizontal="right" vertical="center" wrapText="1"/>
      <protection/>
    </xf>
    <xf numFmtId="0" fontId="13" fillId="0" borderId="10" xfId="0" applyFont="1" applyBorder="1" applyAlignment="1">
      <alignment horizontal="right" vertical="center"/>
    </xf>
    <xf numFmtId="164" fontId="41" fillId="0" borderId="10" xfId="42" applyNumberFormat="1" applyFont="1" applyFill="1" applyBorder="1" applyAlignment="1">
      <alignment horizontal="right" vertical="center"/>
    </xf>
    <xf numFmtId="164" fontId="41" fillId="37" borderId="10" xfId="42" applyNumberFormat="1" applyFont="1" applyFill="1" applyBorder="1" applyAlignment="1" applyProtection="1">
      <alignment horizontal="right" vertical="center" wrapText="1"/>
      <protection/>
    </xf>
    <xf numFmtId="164" fontId="37" fillId="39" borderId="10" xfId="42" applyNumberFormat="1" applyFont="1" applyFill="1" applyBorder="1" applyAlignment="1">
      <alignment horizontal="right" vertical="center"/>
    </xf>
    <xf numFmtId="0" fontId="22" fillId="10" borderId="0" xfId="0" applyFont="1" applyFill="1" applyAlignment="1">
      <alignment/>
    </xf>
    <xf numFmtId="164" fontId="13" fillId="0" borderId="0" xfId="42" applyNumberFormat="1" applyFont="1" applyAlignment="1">
      <alignment horizontal="left"/>
    </xf>
    <xf numFmtId="164" fontId="13" fillId="10" borderId="10" xfId="42" applyNumberFormat="1" applyFont="1" applyFill="1" applyBorder="1" applyAlignment="1">
      <alignment horizontal="right" vertical="center"/>
    </xf>
    <xf numFmtId="164" fontId="13" fillId="10" borderId="10" xfId="42" applyNumberFormat="1" applyFont="1" applyFill="1" applyBorder="1" applyAlignment="1">
      <alignment wrapText="1"/>
    </xf>
    <xf numFmtId="194" fontId="13" fillId="10" borderId="10" xfId="45" applyNumberFormat="1" applyFont="1" applyFill="1" applyBorder="1" applyAlignment="1">
      <alignment vertical="center"/>
    </xf>
    <xf numFmtId="0" fontId="36" fillId="33" borderId="10" xfId="42" applyNumberFormat="1" applyFont="1" applyFill="1" applyBorder="1" applyAlignment="1" applyProtection="1">
      <alignment horizontal="right" vertical="center" wrapText="1"/>
      <protection/>
    </xf>
    <xf numFmtId="0" fontId="42" fillId="33" borderId="10" xfId="42" applyNumberFormat="1" applyFont="1" applyFill="1" applyBorder="1" applyAlignment="1" applyProtection="1">
      <alignment horizontal="right" vertical="center" wrapText="1"/>
      <protection/>
    </xf>
    <xf numFmtId="164" fontId="42" fillId="0" borderId="10" xfId="42" applyNumberFormat="1" applyFont="1" applyFill="1" applyBorder="1" applyAlignment="1">
      <alignment horizontal="right" vertical="center"/>
    </xf>
    <xf numFmtId="164" fontId="15" fillId="10" borderId="10" xfId="42" applyNumberFormat="1" applyFont="1" applyFill="1" applyBorder="1" applyAlignment="1">
      <alignment horizontal="right" vertical="center"/>
    </xf>
    <xf numFmtId="164" fontId="15" fillId="10" borderId="10" xfId="42" applyNumberFormat="1" applyFont="1" applyFill="1" applyBorder="1" applyAlignment="1">
      <alignment horizontal="right" vertical="center" wrapText="1"/>
    </xf>
    <xf numFmtId="164" fontId="15" fillId="10" borderId="10" xfId="42" applyNumberFormat="1" applyFont="1" applyFill="1" applyBorder="1" applyAlignment="1">
      <alignment horizontal="center" vertical="center" wrapText="1"/>
    </xf>
    <xf numFmtId="164" fontId="13" fillId="10" borderId="10" xfId="42" applyNumberFormat="1" applyFont="1" applyFill="1" applyBorder="1" applyAlignment="1" quotePrefix="1">
      <alignment horizontal="right" vertical="center"/>
    </xf>
    <xf numFmtId="164" fontId="13" fillId="10" borderId="10" xfId="42" applyNumberFormat="1" applyFont="1" applyFill="1" applyBorder="1" applyAlignment="1">
      <alignment horizontal="center" vertical="center"/>
    </xf>
    <xf numFmtId="164" fontId="13" fillId="10" borderId="10" xfId="42" applyNumberFormat="1" applyFont="1" applyFill="1" applyBorder="1" applyAlignment="1" quotePrefix="1">
      <alignment horizontal="right" vertical="center" wrapText="1"/>
    </xf>
    <xf numFmtId="164" fontId="15" fillId="40" borderId="10" xfId="42" applyNumberFormat="1" applyFont="1" applyFill="1" applyBorder="1" applyAlignment="1">
      <alignment horizontal="right" vertical="center" wrapText="1"/>
    </xf>
    <xf numFmtId="0" fontId="10" fillId="40" borderId="0" xfId="0" applyFont="1" applyFill="1" applyAlignment="1">
      <alignment/>
    </xf>
    <xf numFmtId="164" fontId="15" fillId="40" borderId="10" xfId="42" applyNumberFormat="1" applyFont="1" applyFill="1" applyBorder="1" applyAlignment="1">
      <alignment horizontal="center" vertical="center" wrapText="1"/>
    </xf>
    <xf numFmtId="164" fontId="10" fillId="40" borderId="10" xfId="42" applyNumberFormat="1" applyFont="1" applyFill="1" applyBorder="1" applyAlignment="1">
      <alignment/>
    </xf>
    <xf numFmtId="164" fontId="15" fillId="40" borderId="10" xfId="42" applyNumberFormat="1" applyFont="1" applyFill="1" applyBorder="1" applyAlignment="1" quotePrefix="1">
      <alignment horizontal="right" vertical="center"/>
    </xf>
    <xf numFmtId="164" fontId="10" fillId="40" borderId="10" xfId="42" applyNumberFormat="1" applyFont="1" applyFill="1" applyBorder="1" applyAlignment="1">
      <alignment horizontal="right" vertical="center" wrapText="1"/>
    </xf>
    <xf numFmtId="164" fontId="10" fillId="40" borderId="10" xfId="42" applyNumberFormat="1" applyFont="1" applyFill="1" applyBorder="1" applyAlignment="1" quotePrefix="1">
      <alignment horizontal="right" vertical="center"/>
    </xf>
    <xf numFmtId="164" fontId="15" fillId="40" borderId="10" xfId="42" applyNumberFormat="1" applyFont="1" applyFill="1" applyBorder="1" applyAlignment="1">
      <alignment horizontal="right" vertical="center"/>
    </xf>
    <xf numFmtId="165" fontId="10" fillId="40" borderId="10" xfId="59" applyNumberFormat="1" applyFont="1" applyFill="1" applyBorder="1" applyAlignment="1" applyProtection="1">
      <alignment horizontal="justify" vertical="center"/>
      <protection locked="0"/>
    </xf>
    <xf numFmtId="165" fontId="10" fillId="40" borderId="10" xfId="0" applyNumberFormat="1" applyFont="1" applyFill="1" applyBorder="1" applyAlignment="1" applyProtection="1">
      <alignment horizontal="justify" vertical="center" wrapText="1"/>
      <protection locked="0"/>
    </xf>
    <xf numFmtId="1" fontId="15" fillId="40" borderId="10" xfId="42" applyNumberFormat="1" applyFont="1" applyFill="1" applyBorder="1" applyAlignment="1">
      <alignment horizontal="right"/>
    </xf>
    <xf numFmtId="164" fontId="56" fillId="40" borderId="10" xfId="42" applyNumberFormat="1" applyFont="1" applyFill="1" applyBorder="1" applyAlignment="1">
      <alignment/>
    </xf>
    <xf numFmtId="164" fontId="15" fillId="40" borderId="10" xfId="42" applyNumberFormat="1" applyFont="1" applyFill="1" applyBorder="1" applyAlignment="1">
      <alignment/>
    </xf>
    <xf numFmtId="1" fontId="15" fillId="40" borderId="10" xfId="42" applyNumberFormat="1" applyFont="1" applyFill="1" applyBorder="1" applyAlignment="1">
      <alignment horizontal="right" vertical="center" wrapText="1"/>
    </xf>
    <xf numFmtId="164" fontId="15" fillId="40" borderId="10" xfId="42" applyNumberFormat="1" applyFont="1" applyFill="1" applyBorder="1" applyAlignment="1">
      <alignment vertical="center" wrapText="1"/>
    </xf>
    <xf numFmtId="1" fontId="15" fillId="40" borderId="10" xfId="42" applyNumberFormat="1" applyFont="1" applyFill="1" applyBorder="1" applyAlignment="1">
      <alignment vertical="center" wrapText="1"/>
    </xf>
    <xf numFmtId="165" fontId="10" fillId="40" borderId="11" xfId="0" applyNumberFormat="1" applyFont="1" applyFill="1" applyBorder="1" applyAlignment="1">
      <alignment horizontal="left" vertical="center" wrapText="1"/>
    </xf>
    <xf numFmtId="165" fontId="10" fillId="40" borderId="10" xfId="0" applyNumberFormat="1" applyFont="1" applyFill="1" applyBorder="1" applyAlignment="1" applyProtection="1">
      <alignment horizontal="left" vertical="center" wrapText="1"/>
      <protection locked="0"/>
    </xf>
    <xf numFmtId="164" fontId="8" fillId="39" borderId="10" xfId="42" applyNumberFormat="1" applyFont="1" applyFill="1" applyBorder="1" applyAlignment="1">
      <alignment horizontal="left" vertical="center" wrapText="1"/>
    </xf>
    <xf numFmtId="164" fontId="13" fillId="0" borderId="0" xfId="42" applyNumberFormat="1" applyFont="1" applyFill="1" applyBorder="1" applyAlignment="1">
      <alignment horizontal="center" wrapText="1"/>
    </xf>
    <xf numFmtId="164" fontId="13" fillId="0" borderId="0" xfId="42" applyNumberFormat="1" applyFont="1" applyFill="1" applyBorder="1" applyAlignment="1">
      <alignment/>
    </xf>
    <xf numFmtId="164" fontId="13" fillId="0" borderId="0" xfId="42" applyNumberFormat="1" applyFont="1" applyFill="1" applyBorder="1" applyAlignment="1">
      <alignment wrapText="1"/>
    </xf>
    <xf numFmtId="164" fontId="13" fillId="0" borderId="0" xfId="42" applyNumberFormat="1" applyFont="1" applyFill="1" applyBorder="1" applyAlignment="1">
      <alignment horizontal="right" vertical="center"/>
    </xf>
    <xf numFmtId="164" fontId="13" fillId="0" borderId="0" xfId="42" applyNumberFormat="1" applyFont="1" applyFill="1" applyBorder="1" applyAlignment="1">
      <alignment horizontal="right" vertical="center"/>
    </xf>
    <xf numFmtId="1" fontId="8" fillId="33" borderId="10" xfId="42" applyNumberFormat="1" applyFont="1" applyFill="1" applyBorder="1" applyAlignment="1">
      <alignment vertical="center"/>
    </xf>
    <xf numFmtId="0" fontId="0" fillId="41" borderId="0" xfId="0" applyFill="1" applyAlignment="1">
      <alignment/>
    </xf>
    <xf numFmtId="164" fontId="13" fillId="41" borderId="10" xfId="42" applyNumberFormat="1" applyFont="1" applyFill="1" applyBorder="1" applyAlignment="1">
      <alignment horizontal="right"/>
    </xf>
    <xf numFmtId="164" fontId="10" fillId="0" borderId="0" xfId="0" applyNumberFormat="1" applyFont="1" applyFill="1" applyAlignment="1">
      <alignment/>
    </xf>
    <xf numFmtId="165" fontId="10" fillId="40" borderId="10" xfId="42" applyNumberFormat="1" applyFont="1" applyFill="1" applyBorder="1" applyAlignment="1">
      <alignment horizontal="left" vertical="center"/>
    </xf>
    <xf numFmtId="164" fontId="11" fillId="0" borderId="10" xfId="42" applyNumberFormat="1" applyFont="1" applyFill="1" applyBorder="1" applyAlignment="1">
      <alignment horizontal="right" vertical="center"/>
    </xf>
    <xf numFmtId="164" fontId="11" fillId="10" borderId="10" xfId="42" applyNumberFormat="1" applyFont="1" applyFill="1" applyBorder="1" applyAlignment="1">
      <alignment horizontal="right" vertical="center"/>
    </xf>
    <xf numFmtId="164" fontId="13" fillId="10" borderId="10" xfId="42" applyNumberFormat="1" applyFont="1" applyFill="1" applyBorder="1" applyAlignment="1">
      <alignment horizontal="right" vertical="center" wrapText="1"/>
    </xf>
    <xf numFmtId="0" fontId="4" fillId="0" borderId="0" xfId="0" applyFont="1" applyFill="1" applyAlignment="1">
      <alignment horizontal="center"/>
    </xf>
    <xf numFmtId="0" fontId="2" fillId="0" borderId="0" xfId="0" applyFont="1" applyFill="1" applyAlignment="1">
      <alignment horizontal="center" wrapText="1"/>
    </xf>
    <xf numFmtId="0" fontId="5" fillId="0" borderId="0" xfId="0" applyFont="1" applyFill="1" applyAlignment="1">
      <alignment horizontal="center"/>
    </xf>
    <xf numFmtId="0" fontId="36" fillId="0" borderId="10" xfId="0" applyFont="1" applyFill="1" applyBorder="1" applyAlignment="1">
      <alignment horizontal="center" vertical="center" wrapText="1"/>
    </xf>
    <xf numFmtId="165" fontId="36" fillId="0" borderId="10" xfId="0" applyNumberFormat="1" applyFont="1" applyFill="1" applyBorder="1" applyAlignment="1">
      <alignment horizontal="center" vertical="center" wrapText="1"/>
    </xf>
    <xf numFmtId="165" fontId="36" fillId="0" borderId="11" xfId="0" applyNumberFormat="1" applyFont="1" applyFill="1" applyBorder="1" applyAlignment="1">
      <alignment horizontal="center" vertical="center" wrapText="1"/>
    </xf>
    <xf numFmtId="165" fontId="36" fillId="0" borderId="13" xfId="0" applyNumberFormat="1" applyFont="1" applyFill="1" applyBorder="1" applyAlignment="1">
      <alignment horizontal="center" vertical="center" wrapText="1"/>
    </xf>
    <xf numFmtId="0" fontId="37" fillId="0" borderId="10" xfId="0" applyFont="1" applyFill="1" applyBorder="1" applyAlignment="1">
      <alignment horizontal="center" vertical="center" wrapText="1"/>
    </xf>
    <xf numFmtId="0" fontId="37" fillId="0" borderId="10" xfId="0" applyFont="1" applyFill="1" applyBorder="1" applyAlignment="1">
      <alignment horizontal="center" vertical="center"/>
    </xf>
    <xf numFmtId="0" fontId="37" fillId="38" borderId="15" xfId="0" applyFont="1" applyFill="1" applyBorder="1" applyAlignment="1">
      <alignment horizontal="center" vertical="center" wrapText="1"/>
    </xf>
    <xf numFmtId="0" fontId="37" fillId="38" borderId="17" xfId="0" applyFont="1" applyFill="1" applyBorder="1" applyAlignment="1">
      <alignment horizontal="center" vertical="center" wrapText="1"/>
    </xf>
    <xf numFmtId="0" fontId="37" fillId="38" borderId="14" xfId="0" applyFont="1" applyFill="1" applyBorder="1" applyAlignment="1">
      <alignment horizontal="center" vertical="center" wrapText="1"/>
    </xf>
    <xf numFmtId="43" fontId="37" fillId="0" borderId="15" xfId="42" applyFont="1" applyFill="1" applyBorder="1" applyAlignment="1">
      <alignment horizontal="center" vertical="center" wrapText="1"/>
    </xf>
    <xf numFmtId="43" fontId="37" fillId="0" borderId="17" xfId="42" applyFont="1" applyFill="1" applyBorder="1" applyAlignment="1">
      <alignment horizontal="center" vertical="center" wrapText="1"/>
    </xf>
    <xf numFmtId="43" fontId="37" fillId="0" borderId="14" xfId="42" applyFont="1" applyFill="1" applyBorder="1" applyAlignment="1">
      <alignment horizontal="center" vertical="center" wrapText="1"/>
    </xf>
    <xf numFmtId="0" fontId="37" fillId="0" borderId="15" xfId="0" applyFont="1" applyFill="1" applyBorder="1" applyAlignment="1">
      <alignment horizontal="center" vertical="center" wrapText="1"/>
    </xf>
    <xf numFmtId="0" fontId="37" fillId="0" borderId="17" xfId="0" applyFont="1" applyFill="1" applyBorder="1" applyAlignment="1">
      <alignment horizontal="center" vertical="center" wrapText="1"/>
    </xf>
    <xf numFmtId="0" fontId="37" fillId="0" borderId="14" xfId="0" applyFont="1" applyFill="1" applyBorder="1" applyAlignment="1">
      <alignment horizontal="center" vertical="center" wrapText="1"/>
    </xf>
    <xf numFmtId="0" fontId="36" fillId="0" borderId="10" xfId="60" applyFont="1" applyFill="1" applyBorder="1" applyAlignment="1">
      <alignment horizontal="left" wrapText="1"/>
      <protection/>
    </xf>
    <xf numFmtId="0" fontId="11" fillId="0" borderId="10" xfId="0" applyFont="1" applyFill="1" applyBorder="1" applyAlignment="1">
      <alignment horizontal="justify" vertical="center" wrapText="1"/>
    </xf>
    <xf numFmtId="0" fontId="11" fillId="0" borderId="10" xfId="60" applyFont="1" applyFill="1" applyBorder="1" applyAlignment="1">
      <alignment horizontal="justify" vertical="center" wrapText="1"/>
      <protection/>
    </xf>
    <xf numFmtId="0" fontId="38" fillId="0" borderId="10" xfId="0" applyFont="1" applyBorder="1" applyAlignment="1">
      <alignment horizontal="center" vertical="center"/>
    </xf>
    <xf numFmtId="0" fontId="36" fillId="0" borderId="0" xfId="0" applyFont="1" applyFill="1" applyAlignment="1">
      <alignment horizontal="center"/>
    </xf>
    <xf numFmtId="0" fontId="36" fillId="0" borderId="0" xfId="0" applyFont="1" applyFill="1" applyAlignment="1">
      <alignment horizontal="center" wrapText="1"/>
    </xf>
    <xf numFmtId="0" fontId="40" fillId="0" borderId="0" xfId="0" applyFont="1" applyFill="1" applyAlignment="1">
      <alignment horizontal="center"/>
    </xf>
    <xf numFmtId="0" fontId="36" fillId="0" borderId="10" xfId="0" applyFont="1" applyBorder="1" applyAlignment="1">
      <alignment horizontal="center" vertical="center" wrapText="1"/>
    </xf>
    <xf numFmtId="0" fontId="36" fillId="0" borderId="11" xfId="0" applyFont="1" applyBorder="1" applyAlignment="1">
      <alignment horizontal="center" vertical="center" wrapText="1"/>
    </xf>
    <xf numFmtId="0" fontId="36" fillId="0" borderId="13" xfId="0" applyFont="1" applyBorder="1" applyAlignment="1">
      <alignment horizontal="center" vertical="center" wrapText="1"/>
    </xf>
    <xf numFmtId="0" fontId="37" fillId="0" borderId="10" xfId="0" applyFont="1" applyBorder="1" applyAlignment="1">
      <alignment horizontal="center" vertical="center"/>
    </xf>
    <xf numFmtId="43" fontId="37" fillId="0" borderId="15" xfId="42" applyFont="1" applyBorder="1" applyAlignment="1">
      <alignment horizontal="center" vertical="center"/>
    </xf>
    <xf numFmtId="43" fontId="37" fillId="0" borderId="17" xfId="42" applyFont="1" applyBorder="1" applyAlignment="1">
      <alignment horizontal="center" vertical="center"/>
    </xf>
    <xf numFmtId="43" fontId="37" fillId="0" borderId="14" xfId="42" applyFont="1" applyBorder="1" applyAlignment="1">
      <alignment horizontal="center" vertical="center"/>
    </xf>
    <xf numFmtId="165" fontId="37" fillId="0" borderId="10" xfId="0" applyNumberFormat="1" applyFont="1" applyFill="1" applyBorder="1" applyAlignment="1">
      <alignment horizontal="center" vertical="center" wrapText="1"/>
    </xf>
    <xf numFmtId="0" fontId="42" fillId="0" borderId="10" xfId="60" applyFont="1" applyFill="1" applyBorder="1" applyAlignment="1">
      <alignment horizontal="left" vertical="center" wrapText="1"/>
      <protection/>
    </xf>
    <xf numFmtId="0" fontId="37" fillId="0" borderId="15" xfId="0" applyFont="1" applyBorder="1" applyAlignment="1">
      <alignment horizontal="center" vertical="center"/>
    </xf>
    <xf numFmtId="0" fontId="37" fillId="0" borderId="17" xfId="0" applyFont="1" applyBorder="1" applyAlignment="1">
      <alignment horizontal="center" vertical="center"/>
    </xf>
    <xf numFmtId="0" fontId="37" fillId="0" borderId="14" xfId="0" applyFont="1" applyBorder="1" applyAlignment="1">
      <alignment horizontal="center" vertical="center"/>
    </xf>
    <xf numFmtId="0" fontId="42" fillId="0" borderId="10" xfId="0" applyFont="1" applyFill="1" applyBorder="1" applyAlignment="1">
      <alignment horizontal="left" vertical="center" wrapText="1"/>
    </xf>
    <xf numFmtId="164" fontId="13" fillId="0" borderId="10" xfId="42" applyNumberFormat="1" applyFont="1" applyFill="1" applyBorder="1" applyAlignment="1">
      <alignment horizontal="center" vertical="center" wrapText="1"/>
    </xf>
    <xf numFmtId="0" fontId="13" fillId="0" borderId="10" xfId="0" applyFont="1" applyFill="1" applyBorder="1" applyAlignment="1">
      <alignment horizontal="center" vertical="center" wrapText="1"/>
    </xf>
    <xf numFmtId="0" fontId="11" fillId="0" borderId="10" xfId="60" applyFont="1" applyFill="1" applyBorder="1" applyAlignment="1">
      <alignment horizontal="left" wrapText="1"/>
      <protection/>
    </xf>
    <xf numFmtId="0" fontId="11" fillId="0" borderId="11" xfId="60" applyFont="1" applyFill="1" applyBorder="1" applyAlignment="1">
      <alignment horizontal="left" wrapText="1"/>
      <protection/>
    </xf>
    <xf numFmtId="164" fontId="13" fillId="0" borderId="11" xfId="42" applyNumberFormat="1" applyFont="1" applyFill="1" applyBorder="1" applyAlignment="1">
      <alignment horizontal="center" vertical="center" wrapText="1"/>
    </xf>
    <xf numFmtId="164" fontId="13" fillId="0" borderId="13" xfId="42" applyNumberFormat="1" applyFont="1" applyFill="1" applyBorder="1" applyAlignment="1">
      <alignment horizontal="center" vertical="center" wrapText="1"/>
    </xf>
    <xf numFmtId="164" fontId="13" fillId="0" borderId="15" xfId="42" applyNumberFormat="1" applyFont="1" applyFill="1" applyBorder="1" applyAlignment="1">
      <alignment horizontal="center" vertical="center" wrapText="1"/>
    </xf>
    <xf numFmtId="164" fontId="13" fillId="0" borderId="14" xfId="42" applyNumberFormat="1" applyFont="1" applyFill="1" applyBorder="1" applyAlignment="1">
      <alignment horizontal="center" vertical="center" wrapText="1"/>
    </xf>
    <xf numFmtId="164" fontId="13" fillId="0" borderId="17" xfId="42" applyNumberFormat="1" applyFont="1" applyFill="1" applyBorder="1" applyAlignment="1">
      <alignment horizontal="center" vertical="center" wrapText="1"/>
    </xf>
    <xf numFmtId="0" fontId="11" fillId="0" borderId="12" xfId="60" applyFont="1" applyFill="1" applyBorder="1" applyAlignment="1">
      <alignment horizontal="left" wrapText="1"/>
      <protection/>
    </xf>
    <xf numFmtId="0" fontId="11" fillId="0" borderId="13" xfId="60" applyFont="1" applyFill="1" applyBorder="1" applyAlignment="1">
      <alignment horizontal="left" wrapText="1"/>
      <protection/>
    </xf>
    <xf numFmtId="0" fontId="8" fillId="0" borderId="19"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11" fillId="0" borderId="19" xfId="0" applyFont="1" applyFill="1" applyBorder="1" applyAlignment="1">
      <alignment horizontal="center" vertical="center" wrapText="1"/>
    </xf>
    <xf numFmtId="0" fontId="11" fillId="0" borderId="24" xfId="0" applyFont="1" applyFill="1" applyBorder="1" applyAlignment="1">
      <alignment horizontal="center" vertical="center" wrapText="1"/>
    </xf>
    <xf numFmtId="0" fontId="11" fillId="0" borderId="16" xfId="0" applyFont="1" applyFill="1" applyBorder="1" applyAlignment="1">
      <alignment horizontal="center" vertical="center" wrapText="1"/>
    </xf>
    <xf numFmtId="164" fontId="22" fillId="0" borderId="11" xfId="42" applyNumberFormat="1" applyFont="1" applyFill="1" applyBorder="1" applyAlignment="1">
      <alignment horizontal="center"/>
    </xf>
    <xf numFmtId="164" fontId="22" fillId="0" borderId="13" xfId="42" applyNumberFormat="1" applyFont="1" applyFill="1" applyBorder="1" applyAlignment="1">
      <alignment horizontal="center"/>
    </xf>
    <xf numFmtId="164" fontId="13" fillId="0" borderId="19" xfId="42" applyNumberFormat="1" applyFont="1" applyFill="1" applyBorder="1" applyAlignment="1">
      <alignment horizontal="center" vertical="center" wrapText="1"/>
    </xf>
    <xf numFmtId="164" fontId="13" fillId="0" borderId="20" xfId="42" applyNumberFormat="1" applyFont="1" applyFill="1" applyBorder="1" applyAlignment="1">
      <alignment horizontal="center" vertical="center" wrapText="1"/>
    </xf>
    <xf numFmtId="164" fontId="13" fillId="0" borderId="22" xfId="42" applyNumberFormat="1" applyFont="1" applyFill="1" applyBorder="1" applyAlignment="1">
      <alignment horizontal="center" vertical="center" wrapText="1"/>
    </xf>
    <xf numFmtId="164" fontId="13" fillId="0" borderId="12" xfId="42" applyNumberFormat="1" applyFont="1" applyFill="1" applyBorder="1" applyAlignment="1">
      <alignment horizontal="center" vertical="center" wrapText="1"/>
    </xf>
    <xf numFmtId="164" fontId="13" fillId="0" borderId="24" xfId="42" applyNumberFormat="1" applyFont="1" applyFill="1" applyBorder="1" applyAlignment="1">
      <alignment horizontal="center" vertical="center" wrapText="1"/>
    </xf>
    <xf numFmtId="164" fontId="13" fillId="0" borderId="0" xfId="42" applyNumberFormat="1" applyFont="1" applyFill="1" applyBorder="1" applyAlignment="1">
      <alignment horizontal="center" vertical="center" wrapText="1"/>
    </xf>
    <xf numFmtId="164" fontId="13" fillId="0" borderId="18" xfId="42" applyNumberFormat="1" applyFont="1" applyFill="1" applyBorder="1" applyAlignment="1">
      <alignment horizontal="center" vertical="center" wrapText="1"/>
    </xf>
    <xf numFmtId="164" fontId="11" fillId="0" borderId="11" xfId="42" applyNumberFormat="1" applyFont="1" applyFill="1" applyBorder="1" applyAlignment="1">
      <alignment horizontal="center" vertical="center" wrapText="1"/>
    </xf>
    <xf numFmtId="164" fontId="11" fillId="0" borderId="12" xfId="42" applyNumberFormat="1" applyFont="1" applyFill="1" applyBorder="1" applyAlignment="1">
      <alignment horizontal="center" vertical="center" wrapText="1"/>
    </xf>
    <xf numFmtId="164" fontId="11" fillId="0" borderId="13" xfId="42" applyNumberFormat="1" applyFont="1" applyFill="1" applyBorder="1" applyAlignment="1">
      <alignment horizontal="center" vertical="center" wrapText="1"/>
    </xf>
    <xf numFmtId="164" fontId="13" fillId="0" borderId="16" xfId="42" applyNumberFormat="1" applyFont="1" applyFill="1" applyBorder="1" applyAlignment="1">
      <alignment horizontal="center" vertical="center" wrapText="1"/>
    </xf>
    <xf numFmtId="164" fontId="13" fillId="0" borderId="23" xfId="42" applyNumberFormat="1" applyFont="1" applyFill="1" applyBorder="1" applyAlignment="1">
      <alignment horizontal="center" vertical="center" wrapText="1"/>
    </xf>
    <xf numFmtId="164" fontId="13" fillId="0" borderId="21" xfId="42" applyNumberFormat="1" applyFont="1" applyFill="1" applyBorder="1" applyAlignment="1">
      <alignment horizontal="center" vertical="center" wrapText="1"/>
    </xf>
    <xf numFmtId="0" fontId="4" fillId="0" borderId="0" xfId="0" applyFont="1" applyFill="1" applyAlignment="1">
      <alignment horizontal="center" wrapText="1"/>
    </xf>
    <xf numFmtId="164" fontId="6" fillId="0" borderId="0" xfId="42" applyNumberFormat="1" applyFont="1" applyFill="1" applyAlignment="1">
      <alignment horizontal="right"/>
    </xf>
    <xf numFmtId="165" fontId="13" fillId="0" borderId="10" xfId="0" applyNumberFormat="1" applyFont="1" applyFill="1" applyBorder="1" applyAlignment="1">
      <alignment horizontal="center" vertical="center" wrapText="1"/>
    </xf>
    <xf numFmtId="0" fontId="13" fillId="0" borderId="13" xfId="0" applyFont="1" applyFill="1" applyBorder="1" applyAlignment="1">
      <alignment horizontal="center" vertical="center" wrapText="1"/>
    </xf>
    <xf numFmtId="0" fontId="6" fillId="0" borderId="19" xfId="0" applyFont="1" applyFill="1" applyBorder="1" applyAlignment="1">
      <alignment horizontal="center"/>
    </xf>
    <xf numFmtId="0" fontId="6" fillId="0" borderId="16" xfId="0" applyFont="1" applyFill="1" applyBorder="1" applyAlignment="1">
      <alignment horizontal="center"/>
    </xf>
    <xf numFmtId="0" fontId="6" fillId="0" borderId="20" xfId="0" applyFont="1" applyFill="1" applyBorder="1" applyAlignment="1">
      <alignment horizontal="center"/>
    </xf>
    <xf numFmtId="0" fontId="6" fillId="0" borderId="21" xfId="0" applyFont="1" applyFill="1" applyBorder="1" applyAlignment="1">
      <alignment horizontal="center"/>
    </xf>
    <xf numFmtId="0" fontId="6" fillId="0" borderId="22" xfId="0" applyFont="1" applyFill="1" applyBorder="1" applyAlignment="1">
      <alignment horizontal="center"/>
    </xf>
    <xf numFmtId="0" fontId="6" fillId="0" borderId="23" xfId="0" applyFont="1" applyFill="1" applyBorder="1" applyAlignment="1">
      <alignment horizontal="center"/>
    </xf>
    <xf numFmtId="0" fontId="16" fillId="0" borderId="11" xfId="0" applyFont="1" applyFill="1" applyBorder="1" applyAlignment="1">
      <alignment horizontal="center" vertical="center"/>
    </xf>
    <xf numFmtId="0" fontId="16" fillId="0" borderId="12" xfId="0" applyFont="1" applyFill="1" applyBorder="1" applyAlignment="1">
      <alignment horizontal="center" vertical="center"/>
    </xf>
    <xf numFmtId="0" fontId="16" fillId="0" borderId="13" xfId="0" applyFont="1" applyFill="1" applyBorder="1" applyAlignment="1">
      <alignment horizontal="center" vertical="center"/>
    </xf>
    <xf numFmtId="0" fontId="11" fillId="0" borderId="22" xfId="0" applyFont="1" applyFill="1" applyBorder="1" applyAlignment="1">
      <alignment horizontal="center" vertical="center" wrapText="1"/>
    </xf>
    <xf numFmtId="0" fontId="11" fillId="0" borderId="18" xfId="0" applyFont="1" applyFill="1" applyBorder="1" applyAlignment="1">
      <alignment horizontal="center" vertical="center" wrapText="1"/>
    </xf>
    <xf numFmtId="0" fontId="11" fillId="0" borderId="23" xfId="0" applyFont="1" applyFill="1" applyBorder="1" applyAlignment="1">
      <alignment horizontal="center" vertical="center" wrapText="1"/>
    </xf>
    <xf numFmtId="0" fontId="11" fillId="0" borderId="12" xfId="0" applyFont="1" applyBorder="1" applyAlignment="1">
      <alignment horizontal="center" vertical="center" wrapText="1"/>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1" fillId="0" borderId="11" xfId="0" applyFont="1" applyBorder="1" applyAlignment="1">
      <alignment horizontal="center" vertical="center" wrapText="1"/>
    </xf>
    <xf numFmtId="0" fontId="13" fillId="0" borderId="11" xfId="0" applyFont="1" applyFill="1" applyBorder="1" applyAlignment="1">
      <alignment horizontal="center" vertical="center" wrapText="1"/>
    </xf>
    <xf numFmtId="0" fontId="13" fillId="0" borderId="12" xfId="0" applyFont="1" applyFill="1" applyBorder="1" applyAlignment="1">
      <alignment horizontal="center" vertical="center" wrapText="1"/>
    </xf>
    <xf numFmtId="0" fontId="11" fillId="0" borderId="20" xfId="0" applyFont="1" applyFill="1" applyBorder="1" applyAlignment="1">
      <alignment horizontal="center" vertical="center" wrapText="1"/>
    </xf>
    <xf numFmtId="0" fontId="11" fillId="0" borderId="21" xfId="0" applyFont="1" applyFill="1" applyBorder="1" applyAlignment="1">
      <alignment horizontal="center" vertical="center" wrapText="1"/>
    </xf>
    <xf numFmtId="0" fontId="11" fillId="0" borderId="13" xfId="0" applyFont="1" applyBorder="1" applyAlignment="1">
      <alignment horizontal="center" vertical="center" wrapText="1"/>
    </xf>
    <xf numFmtId="165" fontId="13" fillId="0" borderId="15" xfId="0" applyNumberFormat="1" applyFont="1" applyFill="1" applyBorder="1" applyAlignment="1">
      <alignment horizontal="center" vertical="center" wrapText="1"/>
    </xf>
    <xf numFmtId="165" fontId="13" fillId="0" borderId="17" xfId="0" applyNumberFormat="1" applyFont="1" applyFill="1" applyBorder="1" applyAlignment="1">
      <alignment horizontal="center" vertical="center" wrapText="1"/>
    </xf>
    <xf numFmtId="165" fontId="13" fillId="0" borderId="14" xfId="0" applyNumberFormat="1" applyFont="1" applyFill="1" applyBorder="1" applyAlignment="1">
      <alignment horizontal="center" vertical="center" wrapText="1"/>
    </xf>
    <xf numFmtId="0" fontId="13" fillId="0" borderId="15" xfId="0" applyFont="1" applyFill="1" applyBorder="1" applyAlignment="1">
      <alignment horizontal="center" vertical="center" wrapText="1"/>
    </xf>
    <xf numFmtId="0" fontId="13" fillId="0" borderId="17" xfId="0" applyFont="1" applyFill="1" applyBorder="1" applyAlignment="1">
      <alignment horizontal="center" vertical="center" wrapText="1"/>
    </xf>
    <xf numFmtId="0" fontId="13" fillId="0" borderId="14" xfId="0" applyFont="1" applyFill="1" applyBorder="1" applyAlignment="1">
      <alignment horizontal="center" vertical="center" wrapText="1"/>
    </xf>
    <xf numFmtId="0" fontId="22" fillId="0" borderId="0" xfId="0" applyFont="1" applyBorder="1" applyAlignment="1">
      <alignment horizontal="center" wrapText="1"/>
    </xf>
    <xf numFmtId="0" fontId="13" fillId="0" borderId="10" xfId="0" applyFont="1" applyBorder="1" applyAlignment="1">
      <alignment horizontal="center" vertical="center" wrapText="1"/>
    </xf>
    <xf numFmtId="0" fontId="42" fillId="0" borderId="11" xfId="60" applyFont="1" applyFill="1" applyBorder="1" applyAlignment="1">
      <alignment horizontal="left" wrapText="1"/>
      <protection/>
    </xf>
    <xf numFmtId="0" fontId="42" fillId="0" borderId="13" xfId="60" applyFont="1" applyFill="1" applyBorder="1" applyAlignment="1">
      <alignment horizontal="left" wrapText="1"/>
      <protection/>
    </xf>
    <xf numFmtId="0" fontId="13" fillId="0" borderId="17" xfId="59" applyFont="1" applyFill="1" applyBorder="1" applyAlignment="1">
      <alignment horizontal="center" vertical="center" wrapText="1"/>
      <protection/>
    </xf>
    <xf numFmtId="0" fontId="13" fillId="0" borderId="14" xfId="59" applyFont="1" applyFill="1" applyBorder="1" applyAlignment="1">
      <alignment horizontal="center" vertical="center" wrapText="1"/>
      <protection/>
    </xf>
    <xf numFmtId="0" fontId="42" fillId="0" borderId="0" xfId="59" applyFont="1" applyFill="1" applyAlignment="1">
      <alignment horizontal="center" vertical="center"/>
      <protection/>
    </xf>
    <xf numFmtId="0" fontId="11" fillId="0" borderId="11" xfId="59" applyFont="1" applyFill="1" applyBorder="1" applyAlignment="1">
      <alignment horizontal="center" vertical="center" wrapText="1"/>
      <protection/>
    </xf>
    <xf numFmtId="0" fontId="11" fillId="0" borderId="12" xfId="59" applyFont="1" applyFill="1" applyBorder="1" applyAlignment="1">
      <alignment horizontal="center" vertical="center" wrapText="1"/>
      <protection/>
    </xf>
    <xf numFmtId="0" fontId="11" fillId="0" borderId="13" xfId="59" applyFont="1" applyFill="1" applyBorder="1" applyAlignment="1">
      <alignment horizontal="center" vertical="center" wrapText="1"/>
      <protection/>
    </xf>
    <xf numFmtId="49" fontId="13" fillId="0" borderId="19" xfId="59" applyNumberFormat="1" applyFont="1" applyFill="1" applyBorder="1" applyAlignment="1">
      <alignment horizontal="center" wrapText="1"/>
      <protection/>
    </xf>
    <xf numFmtId="49" fontId="13" fillId="0" borderId="24" xfId="59" applyNumberFormat="1" applyFont="1" applyFill="1" applyBorder="1" applyAlignment="1">
      <alignment horizontal="center"/>
      <protection/>
    </xf>
    <xf numFmtId="49" fontId="13" fillId="0" borderId="16" xfId="59" applyNumberFormat="1" applyFont="1" applyFill="1" applyBorder="1" applyAlignment="1">
      <alignment horizontal="center"/>
      <protection/>
    </xf>
    <xf numFmtId="49" fontId="13" fillId="0" borderId="15" xfId="59" applyNumberFormat="1" applyFont="1" applyFill="1" applyBorder="1" applyAlignment="1">
      <alignment horizontal="center" vertical="center" wrapText="1"/>
      <protection/>
    </xf>
    <xf numFmtId="49" fontId="13" fillId="0" borderId="17" xfId="59" applyNumberFormat="1" applyFont="1" applyFill="1" applyBorder="1" applyAlignment="1">
      <alignment horizontal="center" vertical="center" wrapText="1"/>
      <protection/>
    </xf>
    <xf numFmtId="49" fontId="13" fillId="0" borderId="14" xfId="59" applyNumberFormat="1" applyFont="1" applyFill="1" applyBorder="1" applyAlignment="1">
      <alignment horizontal="center" vertical="center" wrapText="1"/>
      <protection/>
    </xf>
    <xf numFmtId="164" fontId="42" fillId="39" borderId="11" xfId="42" applyNumberFormat="1" applyFont="1" applyFill="1" applyBorder="1" applyAlignment="1">
      <alignment horizontal="left" vertical="center" wrapText="1"/>
    </xf>
    <xf numFmtId="164" fontId="42" fillId="39" borderId="13" xfId="42" applyNumberFormat="1" applyFont="1" applyFill="1" applyBorder="1" applyAlignment="1">
      <alignment horizontal="left" vertical="center" wrapText="1"/>
    </xf>
    <xf numFmtId="0" fontId="42" fillId="0" borderId="12" xfId="60" applyFont="1" applyFill="1" applyBorder="1" applyAlignment="1">
      <alignment horizontal="left" wrapText="1"/>
      <protection/>
    </xf>
    <xf numFmtId="49" fontId="11" fillId="0" borderId="19" xfId="59" applyNumberFormat="1" applyFont="1" applyFill="1" applyBorder="1" applyAlignment="1">
      <alignment horizontal="center" vertical="center" wrapText="1"/>
      <protection/>
    </xf>
    <xf numFmtId="49" fontId="11" fillId="0" borderId="16" xfId="59" applyNumberFormat="1" applyFont="1" applyFill="1" applyBorder="1" applyAlignment="1">
      <alignment horizontal="center" vertical="center" wrapText="1"/>
      <protection/>
    </xf>
    <xf numFmtId="49" fontId="11" fillId="0" borderId="20" xfId="59" applyNumberFormat="1" applyFont="1" applyFill="1" applyBorder="1" applyAlignment="1">
      <alignment horizontal="center" vertical="center" wrapText="1"/>
      <protection/>
    </xf>
    <xf numFmtId="49" fontId="11" fillId="0" borderId="21" xfId="59" applyNumberFormat="1" applyFont="1" applyFill="1" applyBorder="1" applyAlignment="1">
      <alignment horizontal="center" vertical="center" wrapText="1"/>
      <protection/>
    </xf>
    <xf numFmtId="49" fontId="11" fillId="0" borderId="22" xfId="59" applyNumberFormat="1" applyFont="1" applyFill="1" applyBorder="1" applyAlignment="1">
      <alignment horizontal="center" vertical="center" wrapText="1"/>
      <protection/>
    </xf>
    <xf numFmtId="49" fontId="11" fillId="0" borderId="23" xfId="59" applyNumberFormat="1" applyFont="1" applyFill="1" applyBorder="1" applyAlignment="1">
      <alignment horizontal="center" vertical="center" wrapText="1"/>
      <protection/>
    </xf>
    <xf numFmtId="49" fontId="13" fillId="0" borderId="10" xfId="59" applyNumberFormat="1" applyFont="1" applyFill="1" applyBorder="1" applyAlignment="1">
      <alignment horizontal="center" vertical="center" wrapText="1"/>
      <protection/>
    </xf>
    <xf numFmtId="0" fontId="13" fillId="0" borderId="11" xfId="59" applyFont="1" applyFill="1" applyBorder="1" applyAlignment="1">
      <alignment horizontal="center" vertical="center" wrapText="1"/>
      <protection/>
    </xf>
    <xf numFmtId="0" fontId="13" fillId="0" borderId="12" xfId="59" applyFont="1" applyFill="1" applyBorder="1" applyAlignment="1">
      <alignment horizontal="center" vertical="center" wrapText="1"/>
      <protection/>
    </xf>
    <xf numFmtId="0" fontId="13" fillId="0" borderId="13" xfId="59" applyFont="1" applyFill="1" applyBorder="1" applyAlignment="1">
      <alignment horizontal="center" vertical="center" wrapText="1"/>
      <protection/>
    </xf>
    <xf numFmtId="0" fontId="13" fillId="0" borderId="10" xfId="59" applyFont="1" applyFill="1" applyBorder="1" applyAlignment="1">
      <alignment horizontal="center" vertical="center" wrapText="1"/>
      <protection/>
    </xf>
    <xf numFmtId="0" fontId="13" fillId="0" borderId="15" xfId="59" applyFont="1" applyFill="1" applyBorder="1" applyAlignment="1">
      <alignment horizontal="center" vertical="center" wrapText="1"/>
      <protection/>
    </xf>
    <xf numFmtId="0" fontId="42" fillId="39" borderId="11" xfId="60" applyFont="1" applyFill="1" applyBorder="1" applyAlignment="1">
      <alignment horizontal="left" vertical="center" wrapText="1"/>
      <protection/>
    </xf>
    <xf numFmtId="0" fontId="42" fillId="39" borderId="13" xfId="60" applyFont="1" applyFill="1" applyBorder="1" applyAlignment="1">
      <alignment horizontal="left" vertical="center" wrapText="1"/>
      <protection/>
    </xf>
    <xf numFmtId="0" fontId="42" fillId="0" borderId="11" xfId="59" applyFont="1" applyFill="1" applyBorder="1" applyAlignment="1">
      <alignment horizontal="left" vertical="center" wrapText="1"/>
      <protection/>
    </xf>
    <xf numFmtId="0" fontId="42" fillId="0" borderId="13" xfId="59" applyFont="1" applyFill="1" applyBorder="1" applyAlignment="1">
      <alignment horizontal="left" vertical="center" wrapText="1"/>
      <protection/>
    </xf>
    <xf numFmtId="0" fontId="13" fillId="0" borderId="19" xfId="59" applyFont="1" applyFill="1" applyBorder="1" applyAlignment="1">
      <alignment horizontal="center" vertical="center" wrapText="1"/>
      <protection/>
    </xf>
    <xf numFmtId="0" fontId="13" fillId="0" borderId="22" xfId="59" applyFont="1" applyFill="1" applyBorder="1" applyAlignment="1">
      <alignment horizontal="center" vertical="center" wrapText="1"/>
      <protection/>
    </xf>
    <xf numFmtId="49" fontId="13" fillId="0" borderId="11" xfId="59" applyNumberFormat="1" applyFont="1" applyFill="1" applyBorder="1" applyAlignment="1">
      <alignment horizontal="center" vertical="center" wrapText="1"/>
      <protection/>
    </xf>
    <xf numFmtId="49" fontId="13" fillId="0" borderId="13" xfId="59" applyNumberFormat="1" applyFont="1" applyFill="1" applyBorder="1" applyAlignment="1">
      <alignment horizontal="center" vertical="center" wrapText="1"/>
      <protection/>
    </xf>
    <xf numFmtId="0" fontId="11" fillId="0" borderId="11" xfId="59" applyFont="1" applyFill="1" applyBorder="1" applyAlignment="1">
      <alignment horizontal="left" vertical="center" wrapText="1"/>
      <protection/>
    </xf>
    <xf numFmtId="0" fontId="11" fillId="0" borderId="13" xfId="59" applyFont="1" applyFill="1" applyBorder="1" applyAlignment="1">
      <alignment horizontal="left" vertical="center" wrapText="1"/>
      <protection/>
    </xf>
    <xf numFmtId="0" fontId="11" fillId="0" borderId="10" xfId="59" applyFont="1" applyFill="1" applyBorder="1" applyAlignment="1">
      <alignment horizontal="center" vertical="center"/>
      <protection/>
    </xf>
    <xf numFmtId="0" fontId="25" fillId="0" borderId="18" xfId="59" applyFont="1" applyFill="1" applyBorder="1" applyAlignment="1">
      <alignment horizontal="center"/>
      <protection/>
    </xf>
    <xf numFmtId="49" fontId="11" fillId="0" borderId="10" xfId="59" applyNumberFormat="1" applyFont="1" applyFill="1" applyBorder="1" applyAlignment="1">
      <alignment horizontal="center" vertical="center" wrapText="1"/>
      <protection/>
    </xf>
    <xf numFmtId="49" fontId="11" fillId="0" borderId="24" xfId="59" applyNumberFormat="1" applyFont="1" applyFill="1" applyBorder="1" applyAlignment="1">
      <alignment horizontal="center" vertical="center" wrapText="1"/>
      <protection/>
    </xf>
    <xf numFmtId="164" fontId="10" fillId="0" borderId="15" xfId="42" applyNumberFormat="1" applyFont="1" applyFill="1" applyBorder="1" applyAlignment="1">
      <alignment horizontal="center" vertical="center" wrapText="1"/>
    </xf>
    <xf numFmtId="164" fontId="10" fillId="0" borderId="14" xfId="42" applyNumberFormat="1" applyFont="1" applyFill="1" applyBorder="1" applyAlignment="1">
      <alignment horizontal="center" vertical="center" wrapText="1"/>
    </xf>
    <xf numFmtId="164" fontId="10" fillId="0" borderId="11" xfId="42" applyNumberFormat="1" applyFont="1" applyBorder="1" applyAlignment="1">
      <alignment horizontal="center" vertical="center"/>
    </xf>
    <xf numFmtId="164" fontId="10" fillId="0" borderId="12" xfId="42" applyNumberFormat="1" applyFont="1" applyBorder="1" applyAlignment="1">
      <alignment horizontal="center" vertical="center"/>
    </xf>
    <xf numFmtId="164" fontId="10" fillId="0" borderId="13" xfId="42" applyNumberFormat="1" applyFont="1" applyBorder="1" applyAlignment="1">
      <alignment horizontal="center" vertical="center"/>
    </xf>
    <xf numFmtId="0" fontId="8" fillId="0" borderId="10" xfId="0" applyNumberFormat="1" applyFont="1" applyFill="1" applyBorder="1" applyAlignment="1">
      <alignment horizontal="center" vertical="center" wrapText="1"/>
    </xf>
    <xf numFmtId="164" fontId="10" fillId="0" borderId="19" xfId="42" applyNumberFormat="1" applyFont="1" applyFill="1" applyBorder="1" applyAlignment="1">
      <alignment horizontal="center" vertical="center" wrapText="1"/>
    </xf>
    <xf numFmtId="164" fontId="10" fillId="0" borderId="24" xfId="42" applyNumberFormat="1" applyFont="1" applyFill="1" applyBorder="1" applyAlignment="1">
      <alignment horizontal="center" vertical="center" wrapText="1"/>
    </xf>
    <xf numFmtId="164" fontId="10" fillId="0" borderId="16" xfId="42" applyNumberFormat="1" applyFont="1" applyFill="1" applyBorder="1" applyAlignment="1">
      <alignment horizontal="center" vertical="center" wrapText="1"/>
    </xf>
    <xf numFmtId="164" fontId="10" fillId="0" borderId="11" xfId="42" applyNumberFormat="1" applyFont="1" applyBorder="1" applyAlignment="1">
      <alignment horizontal="center" vertical="center" wrapText="1"/>
    </xf>
    <xf numFmtId="164" fontId="10" fillId="0" borderId="12" xfId="42" applyNumberFormat="1" applyFont="1" applyBorder="1" applyAlignment="1">
      <alignment horizontal="center" vertical="center" wrapText="1"/>
    </xf>
    <xf numFmtId="164" fontId="10" fillId="0" borderId="13" xfId="42" applyNumberFormat="1" applyFont="1" applyBorder="1" applyAlignment="1">
      <alignment horizontal="center" vertical="center" wrapText="1"/>
    </xf>
    <xf numFmtId="164" fontId="8" fillId="0" borderId="24" xfId="42" applyNumberFormat="1" applyFont="1" applyFill="1" applyBorder="1" applyAlignment="1">
      <alignment horizontal="center" vertical="center" wrapText="1"/>
    </xf>
    <xf numFmtId="164" fontId="8" fillId="0" borderId="16" xfId="42" applyNumberFormat="1" applyFont="1" applyFill="1" applyBorder="1" applyAlignment="1">
      <alignment horizontal="center" vertical="center" wrapText="1"/>
    </xf>
    <xf numFmtId="164" fontId="8" fillId="0" borderId="0" xfId="42" applyNumberFormat="1" applyFont="1" applyFill="1" applyBorder="1" applyAlignment="1">
      <alignment horizontal="center" vertical="center" wrapText="1"/>
    </xf>
    <xf numFmtId="164" fontId="8" fillId="0" borderId="21" xfId="42" applyNumberFormat="1" applyFont="1" applyFill="1" applyBorder="1" applyAlignment="1">
      <alignment horizontal="center" vertical="center" wrapText="1"/>
    </xf>
    <xf numFmtId="164" fontId="8" fillId="0" borderId="18" xfId="42" applyNumberFormat="1" applyFont="1" applyFill="1" applyBorder="1" applyAlignment="1">
      <alignment horizontal="center" vertical="center" wrapText="1"/>
    </xf>
    <xf numFmtId="164" fontId="8" fillId="0" borderId="23" xfId="42" applyNumberFormat="1" applyFont="1" applyFill="1" applyBorder="1" applyAlignment="1">
      <alignment horizontal="center" vertical="center" wrapText="1"/>
    </xf>
    <xf numFmtId="0" fontId="8" fillId="0" borderId="19" xfId="0" applyNumberFormat="1" applyFont="1" applyFill="1" applyBorder="1" applyAlignment="1">
      <alignment horizontal="center" vertical="center" wrapText="1"/>
    </xf>
    <xf numFmtId="0" fontId="8" fillId="0" borderId="16" xfId="0" applyNumberFormat="1" applyFont="1" applyFill="1" applyBorder="1" applyAlignment="1">
      <alignment horizontal="center" vertical="center" wrapText="1"/>
    </xf>
    <xf numFmtId="0" fontId="8" fillId="0" borderId="20" xfId="0" applyNumberFormat="1" applyFont="1" applyFill="1" applyBorder="1" applyAlignment="1">
      <alignment horizontal="center" vertical="center" wrapText="1"/>
    </xf>
    <xf numFmtId="0" fontId="8" fillId="0" borderId="21" xfId="0" applyNumberFormat="1" applyFont="1" applyFill="1" applyBorder="1" applyAlignment="1">
      <alignment horizontal="center" vertical="center" wrapText="1"/>
    </xf>
    <xf numFmtId="164" fontId="8" fillId="0" borderId="10" xfId="42" applyNumberFormat="1" applyFont="1" applyFill="1" applyBorder="1" applyAlignment="1">
      <alignment horizontal="center" vertical="center" wrapText="1"/>
    </xf>
    <xf numFmtId="0" fontId="8" fillId="0" borderId="10" xfId="59" applyNumberFormat="1" applyFont="1" applyFill="1" applyBorder="1" applyAlignment="1">
      <alignment horizontal="left" vertical="center" wrapText="1"/>
      <protection/>
    </xf>
    <xf numFmtId="164" fontId="10" fillId="0" borderId="10" xfId="42" applyNumberFormat="1" applyFont="1" applyBorder="1" applyAlignment="1">
      <alignment horizontal="center" vertical="center" wrapText="1"/>
    </xf>
    <xf numFmtId="164" fontId="8" fillId="0" borderId="11" xfId="42" applyNumberFormat="1" applyFont="1" applyFill="1" applyBorder="1" applyAlignment="1">
      <alignment horizontal="center" vertical="center" wrapText="1"/>
    </xf>
    <xf numFmtId="164" fontId="8" fillId="0" borderId="12" xfId="42" applyNumberFormat="1" applyFont="1" applyFill="1" applyBorder="1" applyAlignment="1">
      <alignment horizontal="center" vertical="center" wrapText="1"/>
    </xf>
    <xf numFmtId="164" fontId="8" fillId="0" borderId="13" xfId="42" applyNumberFormat="1" applyFont="1" applyFill="1" applyBorder="1" applyAlignment="1">
      <alignment horizontal="center" vertical="center" wrapText="1"/>
    </xf>
    <xf numFmtId="0" fontId="42" fillId="0" borderId="0" xfId="59" applyFont="1" applyFill="1" applyAlignment="1">
      <alignment horizontal="center"/>
      <protection/>
    </xf>
    <xf numFmtId="0" fontId="10" fillId="0" borderId="10" xfId="0" applyFont="1" applyFill="1" applyBorder="1" applyAlignment="1">
      <alignment horizontal="center" vertical="center" wrapText="1"/>
    </xf>
    <xf numFmtId="0" fontId="8" fillId="0" borderId="10" xfId="59" applyFont="1" applyFill="1" applyBorder="1" applyAlignment="1">
      <alignment horizontal="left" vertical="center" wrapText="1"/>
      <protection/>
    </xf>
    <xf numFmtId="0" fontId="10" fillId="0" borderId="11" xfId="0" applyFont="1" applyFill="1" applyBorder="1" applyAlignment="1">
      <alignment horizontal="center" vertical="center" wrapText="1"/>
    </xf>
    <xf numFmtId="0" fontId="10" fillId="0" borderId="13" xfId="0" applyFont="1" applyFill="1" applyBorder="1" applyAlignment="1">
      <alignment horizontal="center" vertical="center" wrapText="1"/>
    </xf>
    <xf numFmtId="49" fontId="8" fillId="0" borderId="10" xfId="0" applyNumberFormat="1" applyFont="1" applyFill="1" applyBorder="1" applyAlignment="1">
      <alignment horizontal="center" vertical="center" wrapText="1"/>
    </xf>
    <xf numFmtId="0" fontId="10" fillId="0" borderId="10" xfId="0" applyFont="1" applyBorder="1" applyAlignment="1">
      <alignment horizontal="center" vertical="center" wrapText="1"/>
    </xf>
    <xf numFmtId="0" fontId="8" fillId="0" borderId="10" xfId="0" applyFont="1" applyFill="1" applyBorder="1" applyAlignment="1">
      <alignment horizontal="center" vertical="center" wrapText="1"/>
    </xf>
    <xf numFmtId="0" fontId="8" fillId="0" borderId="10" xfId="0" applyFont="1" applyFill="1" applyBorder="1" applyAlignment="1">
      <alignment horizontal="center" vertical="center"/>
    </xf>
    <xf numFmtId="0" fontId="10" fillId="38" borderId="15" xfId="0" applyFont="1" applyFill="1" applyBorder="1" applyAlignment="1">
      <alignment horizontal="center" vertical="center" wrapText="1"/>
    </xf>
    <xf numFmtId="0" fontId="10" fillId="38" borderId="17" xfId="0" applyFont="1" applyFill="1" applyBorder="1" applyAlignment="1">
      <alignment horizontal="center" vertical="center" wrapText="1"/>
    </xf>
    <xf numFmtId="0" fontId="10" fillId="38" borderId="14" xfId="0" applyFont="1" applyFill="1" applyBorder="1" applyAlignment="1">
      <alignment horizontal="center" vertical="center" wrapText="1"/>
    </xf>
    <xf numFmtId="49" fontId="10" fillId="0" borderId="10" xfId="0" applyNumberFormat="1" applyFont="1" applyFill="1" applyBorder="1" applyAlignment="1">
      <alignment horizontal="center" vertical="center" wrapText="1"/>
    </xf>
    <xf numFmtId="43" fontId="10" fillId="0" borderId="15" xfId="42" applyFont="1" applyFill="1" applyBorder="1" applyAlignment="1">
      <alignment horizontal="center" vertical="center" wrapText="1"/>
    </xf>
    <xf numFmtId="43" fontId="10" fillId="0" borderId="14" xfId="42" applyFont="1" applyFill="1" applyBorder="1" applyAlignment="1">
      <alignment horizontal="center" vertical="center" wrapText="1"/>
    </xf>
    <xf numFmtId="0" fontId="10" fillId="0" borderId="15"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8" fillId="0" borderId="10" xfId="59" applyNumberFormat="1" applyFont="1" applyFill="1" applyBorder="1" applyAlignment="1">
      <alignment horizontal="center" vertical="center" wrapText="1"/>
      <protection/>
    </xf>
    <xf numFmtId="0" fontId="0" fillId="0" borderId="20" xfId="0" applyBorder="1" applyAlignment="1">
      <alignment horizontal="left" wrapText="1"/>
    </xf>
    <xf numFmtId="0" fontId="0" fillId="0" borderId="0" xfId="0" applyAlignment="1">
      <alignment horizontal="left" wrapText="1"/>
    </xf>
    <xf numFmtId="0" fontId="10" fillId="0" borderId="11" xfId="0" applyFont="1" applyBorder="1" applyAlignment="1">
      <alignment horizontal="center" vertical="center" wrapText="1"/>
    </xf>
    <xf numFmtId="0" fontId="10" fillId="0" borderId="13" xfId="0" applyFont="1" applyBorder="1" applyAlignment="1">
      <alignment horizontal="center" vertical="center" wrapText="1"/>
    </xf>
    <xf numFmtId="43" fontId="10" fillId="38" borderId="11" xfId="42" applyFont="1" applyFill="1" applyBorder="1" applyAlignment="1">
      <alignment horizontal="center" vertical="center" wrapText="1"/>
    </xf>
    <xf numFmtId="43" fontId="10" fillId="38" borderId="12" xfId="42" applyFont="1" applyFill="1" applyBorder="1" applyAlignment="1">
      <alignment horizontal="center" vertical="center" wrapText="1"/>
    </xf>
    <xf numFmtId="43" fontId="10" fillId="38" borderId="13" xfId="42" applyFont="1" applyFill="1" applyBorder="1" applyAlignment="1">
      <alignment horizontal="center" vertical="center" wrapText="1"/>
    </xf>
    <xf numFmtId="0" fontId="13" fillId="0" borderId="11"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13" xfId="0" applyFont="1" applyBorder="1" applyAlignment="1">
      <alignment horizontal="center" vertical="center" wrapText="1"/>
    </xf>
    <xf numFmtId="0" fontId="55" fillId="0" borderId="0" xfId="0" applyFont="1" applyAlignment="1">
      <alignment horizontal="center"/>
    </xf>
    <xf numFmtId="0" fontId="42" fillId="0" borderId="0" xfId="0" applyFont="1" applyAlignment="1">
      <alignment horizontal="center"/>
    </xf>
    <xf numFmtId="0" fontId="42" fillId="0" borderId="0" xfId="63" applyFont="1" applyFill="1" applyAlignment="1">
      <alignment horizontal="center" vertical="center"/>
      <protection/>
    </xf>
    <xf numFmtId="0" fontId="15" fillId="0" borderId="11" xfId="0" applyFont="1" applyFill="1" applyBorder="1" applyAlignment="1">
      <alignment horizontal="left" vertical="center" wrapText="1"/>
    </xf>
    <xf numFmtId="0" fontId="15" fillId="0" borderId="13" xfId="0" applyFont="1" applyFill="1" applyBorder="1" applyAlignment="1">
      <alignment horizontal="left" vertical="center" wrapText="1"/>
    </xf>
    <xf numFmtId="0" fontId="25" fillId="0" borderId="0" xfId="63" applyFont="1" applyFill="1" applyAlignment="1">
      <alignment horizontal="center" vertical="center"/>
      <protection/>
    </xf>
    <xf numFmtId="0" fontId="13" fillId="0" borderId="19" xfId="0" applyFont="1" applyBorder="1" applyAlignment="1">
      <alignment horizontal="center" vertical="center" wrapText="1"/>
    </xf>
    <xf numFmtId="0" fontId="13" fillId="0" borderId="24" xfId="0" applyFont="1" applyBorder="1" applyAlignment="1">
      <alignment horizontal="center" vertical="center" wrapText="1"/>
    </xf>
    <xf numFmtId="0" fontId="13" fillId="0" borderId="16"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21" xfId="0" applyFont="1" applyBorder="1" applyAlignment="1">
      <alignment horizontal="center" vertical="center" wrapText="1"/>
    </xf>
    <xf numFmtId="0" fontId="13" fillId="0" borderId="22" xfId="0" applyFont="1" applyBorder="1" applyAlignment="1">
      <alignment horizontal="center" vertical="center" wrapText="1"/>
    </xf>
    <xf numFmtId="0" fontId="13" fillId="0" borderId="18" xfId="0" applyFont="1" applyBorder="1" applyAlignment="1">
      <alignment horizontal="center" vertical="center" wrapText="1"/>
    </xf>
    <xf numFmtId="0" fontId="13" fillId="0" borderId="23" xfId="0" applyFont="1" applyBorder="1" applyAlignment="1">
      <alignment horizontal="center" vertical="center" wrapText="1"/>
    </xf>
    <xf numFmtId="0" fontId="11" fillId="0" borderId="10" xfId="0" applyFont="1" applyBorder="1" applyAlignment="1">
      <alignment horizontal="center" vertical="center" wrapText="1"/>
    </xf>
    <xf numFmtId="0" fontId="15" fillId="0" borderId="11" xfId="0" applyFont="1" applyFill="1" applyBorder="1" applyAlignment="1">
      <alignment horizontal="left" wrapText="1"/>
    </xf>
    <xf numFmtId="0" fontId="15" fillId="0" borderId="13" xfId="0" applyFont="1" applyFill="1" applyBorder="1" applyAlignment="1">
      <alignment horizontal="left" wrapText="1"/>
    </xf>
    <xf numFmtId="0" fontId="8" fillId="0" borderId="11"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3" xfId="0" applyFont="1" applyBorder="1" applyAlignment="1">
      <alignment horizontal="center" vertical="center" wrapText="1"/>
    </xf>
    <xf numFmtId="0" fontId="15" fillId="0" borderId="11" xfId="0" applyFont="1" applyFill="1" applyBorder="1" applyAlignment="1" applyProtection="1">
      <alignment horizontal="left" vertical="center" wrapText="1"/>
      <protection locked="0"/>
    </xf>
    <xf numFmtId="0" fontId="15" fillId="0" borderId="13" xfId="0" applyFont="1" applyFill="1" applyBorder="1" applyAlignment="1" applyProtection="1">
      <alignment horizontal="left" vertical="center" wrapText="1"/>
      <protection locked="0"/>
    </xf>
    <xf numFmtId="0" fontId="15" fillId="32" borderId="11" xfId="0" applyFont="1" applyFill="1" applyBorder="1" applyAlignment="1">
      <alignment horizontal="left" wrapText="1"/>
    </xf>
    <xf numFmtId="0" fontId="15" fillId="32" borderId="13" xfId="0" applyFont="1" applyFill="1" applyBorder="1" applyAlignment="1">
      <alignment horizontal="left" wrapText="1"/>
    </xf>
    <xf numFmtId="0" fontId="15" fillId="0" borderId="11" xfId="60" applyFont="1" applyFill="1" applyBorder="1" applyAlignment="1">
      <alignment horizontal="left" wrapText="1"/>
      <protection/>
    </xf>
    <xf numFmtId="0" fontId="15" fillId="0" borderId="13" xfId="60" applyFont="1" applyFill="1" applyBorder="1" applyAlignment="1">
      <alignment horizontal="left" wrapText="1"/>
      <protection/>
    </xf>
    <xf numFmtId="164" fontId="15" fillId="0" borderId="11" xfId="42" applyNumberFormat="1" applyFont="1" applyFill="1" applyBorder="1" applyAlignment="1">
      <alignment horizontal="left" wrapText="1"/>
    </xf>
    <xf numFmtId="164" fontId="15" fillId="0" borderId="13" xfId="42" applyNumberFormat="1" applyFont="1" applyFill="1" applyBorder="1" applyAlignment="1">
      <alignment horizontal="left" wrapText="1"/>
    </xf>
    <xf numFmtId="164" fontId="15" fillId="32" borderId="11" xfId="42" applyNumberFormat="1" applyFont="1" applyFill="1" applyBorder="1" applyAlignment="1">
      <alignment horizontal="left" wrapText="1"/>
    </xf>
    <xf numFmtId="164" fontId="15" fillId="32" borderId="13" xfId="42" applyNumberFormat="1" applyFont="1" applyFill="1" applyBorder="1" applyAlignment="1">
      <alignment horizontal="left" wrapText="1"/>
    </xf>
    <xf numFmtId="164" fontId="15" fillId="0" borderId="11" xfId="42" applyNumberFormat="1" applyFont="1" applyFill="1" applyBorder="1" applyAlignment="1">
      <alignment horizontal="left" vertical="center" wrapText="1"/>
    </xf>
    <xf numFmtId="164" fontId="15" fillId="0" borderId="13" xfId="42" applyNumberFormat="1" applyFont="1" applyFill="1" applyBorder="1" applyAlignment="1">
      <alignment horizontal="left" vertical="center" wrapText="1"/>
    </xf>
    <xf numFmtId="0" fontId="13" fillId="0" borderId="15" xfId="0" applyFont="1" applyBorder="1" applyAlignment="1">
      <alignment horizontal="center" vertical="center" wrapText="1"/>
    </xf>
    <xf numFmtId="0" fontId="13" fillId="0" borderId="17"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11" xfId="0" applyFont="1" applyBorder="1" applyAlignment="1">
      <alignment horizontal="center"/>
    </xf>
    <xf numFmtId="0" fontId="13" fillId="0" borderId="12" xfId="0" applyFont="1" applyBorder="1" applyAlignment="1">
      <alignment horizontal="center"/>
    </xf>
    <xf numFmtId="0" fontId="13" fillId="0" borderId="13" xfId="0" applyFont="1" applyBorder="1" applyAlignment="1">
      <alignment horizontal="center"/>
    </xf>
    <xf numFmtId="0" fontId="13" fillId="0" borderId="19" xfId="0" applyFont="1" applyBorder="1" applyAlignment="1">
      <alignment horizontal="center"/>
    </xf>
    <xf numFmtId="0" fontId="13" fillId="0" borderId="24" xfId="0" applyFont="1" applyBorder="1" applyAlignment="1">
      <alignment horizontal="center"/>
    </xf>
    <xf numFmtId="0" fontId="13" fillId="0" borderId="16" xfId="0" applyFont="1" applyBorder="1" applyAlignment="1">
      <alignment horizontal="center"/>
    </xf>
    <xf numFmtId="0" fontId="13" fillId="0" borderId="20" xfId="0" applyFont="1" applyBorder="1" applyAlignment="1">
      <alignment horizontal="center"/>
    </xf>
    <xf numFmtId="0" fontId="13" fillId="0" borderId="0" xfId="0" applyFont="1" applyBorder="1" applyAlignment="1">
      <alignment horizontal="center"/>
    </xf>
    <xf numFmtId="0" fontId="13" fillId="0" borderId="21" xfId="0" applyFont="1" applyBorder="1" applyAlignment="1">
      <alignment horizontal="center"/>
    </xf>
    <xf numFmtId="0" fontId="13" fillId="0" borderId="22" xfId="0" applyFont="1" applyBorder="1" applyAlignment="1">
      <alignment horizontal="center"/>
    </xf>
    <xf numFmtId="0" fontId="13" fillId="0" borderId="18" xfId="0" applyFont="1" applyBorder="1" applyAlignment="1">
      <alignment horizontal="center"/>
    </xf>
    <xf numFmtId="0" fontId="13" fillId="0" borderId="23" xfId="0" applyFont="1" applyBorder="1" applyAlignment="1">
      <alignment horizontal="center"/>
    </xf>
    <xf numFmtId="0" fontId="8" fillId="0" borderId="11" xfId="59" applyFont="1" applyFill="1" applyBorder="1" applyAlignment="1">
      <alignment horizontal="center" vertical="center" wrapText="1"/>
      <protection/>
    </xf>
    <xf numFmtId="0" fontId="8" fillId="0" borderId="12" xfId="59" applyFont="1" applyFill="1" applyBorder="1" applyAlignment="1">
      <alignment horizontal="center" vertical="center" wrapText="1"/>
      <protection/>
    </xf>
    <xf numFmtId="0" fontId="8" fillId="0" borderId="13" xfId="59" applyFont="1" applyFill="1" applyBorder="1" applyAlignment="1">
      <alignment horizontal="center" vertical="center" wrapText="1"/>
      <protection/>
    </xf>
    <xf numFmtId="0" fontId="15" fillId="0" borderId="10" xfId="0" applyFont="1" applyFill="1" applyBorder="1" applyAlignment="1" applyProtection="1">
      <alignment horizontal="left" vertical="center" wrapText="1"/>
      <protection locked="0"/>
    </xf>
    <xf numFmtId="0" fontId="15" fillId="0" borderId="10" xfId="0" applyFont="1" applyFill="1" applyBorder="1" applyAlignment="1">
      <alignment horizontal="left" wrapText="1"/>
    </xf>
    <xf numFmtId="0" fontId="15" fillId="0" borderId="10" xfId="60" applyFont="1" applyFill="1" applyBorder="1" applyAlignment="1">
      <alignment horizontal="left"/>
      <protection/>
    </xf>
    <xf numFmtId="165" fontId="13" fillId="0" borderId="19" xfId="0" applyNumberFormat="1" applyFont="1" applyFill="1" applyBorder="1" applyAlignment="1">
      <alignment horizontal="center" vertical="center" wrapText="1"/>
    </xf>
    <xf numFmtId="0" fontId="19" fillId="0" borderId="24" xfId="0" applyFont="1" applyBorder="1" applyAlignment="1">
      <alignment/>
    </xf>
    <xf numFmtId="0" fontId="19" fillId="0" borderId="16" xfId="0" applyFont="1" applyBorder="1" applyAlignment="1">
      <alignment/>
    </xf>
    <xf numFmtId="0" fontId="19" fillId="0" borderId="22" xfId="0" applyFont="1" applyBorder="1" applyAlignment="1">
      <alignment/>
    </xf>
    <xf numFmtId="0" fontId="19" fillId="0" borderId="18" xfId="0" applyFont="1" applyBorder="1" applyAlignment="1">
      <alignment/>
    </xf>
    <xf numFmtId="0" fontId="19" fillId="0" borderId="23" xfId="0" applyFont="1" applyBorder="1" applyAlignment="1">
      <alignment/>
    </xf>
    <xf numFmtId="0" fontId="22" fillId="0" borderId="10" xfId="0" applyFont="1" applyBorder="1" applyAlignment="1">
      <alignment horizontal="center"/>
    </xf>
    <xf numFmtId="0" fontId="11" fillId="0" borderId="10" xfId="0" applyFont="1" applyFill="1" applyBorder="1" applyAlignment="1">
      <alignment horizontal="center" vertical="center" wrapText="1"/>
    </xf>
    <xf numFmtId="0" fontId="11" fillId="0" borderId="11"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11" fillId="0" borderId="13" xfId="0" applyFont="1" applyFill="1" applyBorder="1" applyAlignment="1">
      <alignment horizontal="center" vertical="center" wrapText="1"/>
    </xf>
    <xf numFmtId="0" fontId="13" fillId="0" borderId="19" xfId="0" applyFont="1" applyFill="1" applyBorder="1" applyAlignment="1">
      <alignment horizontal="center" vertical="center" wrapText="1"/>
    </xf>
    <xf numFmtId="0" fontId="13" fillId="0" borderId="24" xfId="0" applyFont="1" applyFill="1" applyBorder="1" applyAlignment="1">
      <alignment horizontal="center" vertical="center" wrapText="1"/>
    </xf>
    <xf numFmtId="0" fontId="13" fillId="0" borderId="16" xfId="0" applyFont="1" applyFill="1" applyBorder="1" applyAlignment="1">
      <alignment horizontal="center" vertical="center" wrapText="1"/>
    </xf>
    <xf numFmtId="0" fontId="13" fillId="0" borderId="22" xfId="0" applyFont="1" applyFill="1" applyBorder="1" applyAlignment="1">
      <alignment horizontal="center" vertical="center" wrapText="1"/>
    </xf>
    <xf numFmtId="0" fontId="13" fillId="0" borderId="18" xfId="0" applyFont="1" applyFill="1" applyBorder="1" applyAlignment="1">
      <alignment horizontal="center" vertical="center" wrapText="1"/>
    </xf>
    <xf numFmtId="0" fontId="13" fillId="0" borderId="23" xfId="0" applyFont="1" applyFill="1" applyBorder="1" applyAlignment="1">
      <alignment horizontal="center" vertical="center" wrapText="1"/>
    </xf>
    <xf numFmtId="165" fontId="13" fillId="0" borderId="11" xfId="0" applyNumberFormat="1" applyFont="1" applyFill="1" applyBorder="1" applyAlignment="1">
      <alignment horizontal="center" vertical="center" wrapText="1"/>
    </xf>
    <xf numFmtId="165" fontId="13" fillId="0" borderId="12" xfId="0" applyNumberFormat="1" applyFont="1" applyFill="1" applyBorder="1" applyAlignment="1">
      <alignment horizontal="center" vertical="center" wrapText="1"/>
    </xf>
    <xf numFmtId="165" fontId="13" fillId="0" borderId="13" xfId="0" applyNumberFormat="1" applyFont="1" applyFill="1" applyBorder="1" applyAlignment="1">
      <alignment horizontal="center" vertical="center" wrapText="1"/>
    </xf>
    <xf numFmtId="0" fontId="49" fillId="0" borderId="10" xfId="0" applyFont="1" applyBorder="1" applyAlignment="1">
      <alignment horizontal="center"/>
    </xf>
    <xf numFmtId="0" fontId="0" fillId="0" borderId="11" xfId="0" applyBorder="1" applyAlignment="1">
      <alignment horizontal="left" vertical="center" wrapText="1"/>
    </xf>
    <xf numFmtId="0" fontId="0" fillId="0" borderId="12" xfId="0" applyBorder="1" applyAlignment="1">
      <alignment horizontal="left" vertical="center" wrapText="1"/>
    </xf>
    <xf numFmtId="164" fontId="49" fillId="0" borderId="11" xfId="0" applyNumberFormat="1" applyFont="1" applyBorder="1" applyAlignment="1">
      <alignment horizontal="center" vertical="center" wrapText="1"/>
    </xf>
    <xf numFmtId="164" fontId="49" fillId="0" borderId="12" xfId="0" applyNumberFormat="1" applyFont="1" applyBorder="1" applyAlignment="1">
      <alignment horizontal="center" vertical="center" wrapText="1"/>
    </xf>
    <xf numFmtId="164" fontId="49" fillId="0" borderId="13" xfId="0" applyNumberFormat="1" applyFont="1" applyBorder="1" applyAlignment="1">
      <alignment horizontal="center" vertical="center" wrapText="1"/>
    </xf>
    <xf numFmtId="0" fontId="0" fillId="0" borderId="12" xfId="0" applyBorder="1" applyAlignment="1">
      <alignment horizontal="left" vertical="center"/>
    </xf>
    <xf numFmtId="0" fontId="11" fillId="0" borderId="10" xfId="63" applyFont="1" applyFill="1" applyBorder="1" applyAlignment="1">
      <alignment horizontal="left" wrapText="1"/>
      <protection/>
    </xf>
    <xf numFmtId="1" fontId="49" fillId="0" borderId="10" xfId="0" applyNumberFormat="1" applyFont="1" applyBorder="1" applyAlignment="1">
      <alignment horizontal="center"/>
    </xf>
    <xf numFmtId="0" fontId="11" fillId="0" borderId="11" xfId="63" applyFont="1" applyFill="1" applyBorder="1" applyAlignment="1">
      <alignment horizontal="left" wrapText="1"/>
      <protection/>
    </xf>
    <xf numFmtId="0" fontId="11" fillId="0" borderId="12" xfId="63" applyFont="1" applyFill="1" applyBorder="1" applyAlignment="1">
      <alignment horizontal="left" wrapText="1"/>
      <protection/>
    </xf>
    <xf numFmtId="0" fontId="4" fillId="0" borderId="0" xfId="0" applyFont="1" applyFill="1" applyAlignment="1">
      <alignment horizontal="center" vertical="center"/>
    </xf>
    <xf numFmtId="0" fontId="0" fillId="0" borderId="11" xfId="0" applyFill="1" applyBorder="1" applyAlignment="1">
      <alignment horizontal="left" vertical="center" wrapText="1"/>
    </xf>
    <xf numFmtId="0" fontId="0" fillId="0" borderId="12" xfId="0" applyFill="1" applyBorder="1" applyAlignment="1">
      <alignment horizontal="left" vertical="center" wrapText="1"/>
    </xf>
    <xf numFmtId="166" fontId="13" fillId="0" borderId="11" xfId="0" applyNumberFormat="1" applyFont="1" applyFill="1" applyBorder="1" applyAlignment="1">
      <alignment horizontal="center" vertical="center" wrapText="1"/>
    </xf>
    <xf numFmtId="166" fontId="13" fillId="0" borderId="12" xfId="0" applyNumberFormat="1" applyFont="1" applyFill="1" applyBorder="1" applyAlignment="1">
      <alignment horizontal="center" vertical="center" wrapText="1"/>
    </xf>
    <xf numFmtId="0" fontId="42" fillId="0" borderId="0" xfId="63" applyFont="1" applyFill="1" applyAlignment="1">
      <alignment horizontal="center" vertical="top"/>
      <protection/>
    </xf>
    <xf numFmtId="0" fontId="0" fillId="0" borderId="19" xfId="0" applyBorder="1" applyAlignment="1">
      <alignment horizontal="center"/>
    </xf>
    <xf numFmtId="0" fontId="0" fillId="0" borderId="24" xfId="0" applyBorder="1" applyAlignment="1">
      <alignment horizontal="center"/>
    </xf>
    <xf numFmtId="0" fontId="0" fillId="0" borderId="20" xfId="0" applyBorder="1" applyAlignment="1">
      <alignment horizontal="center"/>
    </xf>
    <xf numFmtId="0" fontId="0" fillId="0" borderId="0" xfId="0" applyBorder="1" applyAlignment="1">
      <alignment horizontal="center"/>
    </xf>
    <xf numFmtId="0" fontId="0" fillId="0" borderId="22" xfId="0" applyBorder="1" applyAlignment="1">
      <alignment horizontal="center"/>
    </xf>
    <xf numFmtId="0" fontId="0" fillId="0" borderId="18" xfId="0" applyBorder="1" applyAlignment="1">
      <alignment horizontal="center"/>
    </xf>
    <xf numFmtId="165" fontId="13" fillId="0" borderId="14" xfId="0" applyNumberFormat="1" applyFont="1" applyBorder="1" applyAlignment="1">
      <alignment horizontal="center" vertical="center" wrapText="1"/>
    </xf>
    <xf numFmtId="165" fontId="13" fillId="0" borderId="10" xfId="0" applyNumberFormat="1" applyFont="1" applyBorder="1" applyAlignment="1">
      <alignment horizontal="center" vertical="center" wrapText="1"/>
    </xf>
    <xf numFmtId="0" fontId="36" fillId="0" borderId="0" xfId="63" applyFont="1" applyFill="1" applyAlignment="1">
      <alignment horizontal="left" vertical="top"/>
      <protection/>
    </xf>
    <xf numFmtId="0" fontId="42" fillId="0" borderId="0" xfId="63" applyFont="1" applyFill="1" applyAlignment="1">
      <alignment horizontal="center"/>
      <protection/>
    </xf>
    <xf numFmtId="0" fontId="4" fillId="0" borderId="0" xfId="0" applyFont="1" applyFill="1" applyAlignment="1">
      <alignment horizontal="center" vertical="center" wrapText="1"/>
    </xf>
    <xf numFmtId="164" fontId="11" fillId="0" borderId="11" xfId="42" applyNumberFormat="1" applyFont="1" applyFill="1" applyBorder="1" applyAlignment="1">
      <alignment horizontal="left"/>
    </xf>
    <xf numFmtId="164" fontId="11" fillId="0" borderId="12" xfId="42" applyNumberFormat="1" applyFont="1" applyFill="1" applyBorder="1" applyAlignment="1">
      <alignment horizontal="left"/>
    </xf>
    <xf numFmtId="164" fontId="11" fillId="0" borderId="13" xfId="42" applyNumberFormat="1" applyFont="1" applyFill="1" applyBorder="1" applyAlignment="1">
      <alignment horizontal="left"/>
    </xf>
    <xf numFmtId="164" fontId="11" fillId="0" borderId="11" xfId="42" applyNumberFormat="1" applyFont="1" applyFill="1" applyBorder="1" applyAlignment="1">
      <alignment horizontal="left" wrapText="1"/>
    </xf>
    <xf numFmtId="164" fontId="11" fillId="0" borderId="12" xfId="42" applyNumberFormat="1" applyFont="1" applyFill="1" applyBorder="1" applyAlignment="1">
      <alignment horizontal="left" wrapText="1"/>
    </xf>
    <xf numFmtId="164" fontId="11" fillId="0" borderId="13" xfId="42" applyNumberFormat="1" applyFont="1" applyFill="1" applyBorder="1" applyAlignment="1">
      <alignment horizontal="left" wrapText="1"/>
    </xf>
    <xf numFmtId="0" fontId="11" fillId="0" borderId="0" xfId="0" applyFont="1" applyFill="1" applyBorder="1" applyAlignment="1">
      <alignment horizontal="center" vertical="center" wrapText="1"/>
    </xf>
    <xf numFmtId="164" fontId="11" fillId="0" borderId="10" xfId="42" applyNumberFormat="1" applyFont="1" applyFill="1" applyBorder="1" applyAlignment="1">
      <alignment horizontal="center" vertical="center" wrapText="1"/>
    </xf>
    <xf numFmtId="164" fontId="11" fillId="0" borderId="11" xfId="42" applyNumberFormat="1" applyFont="1" applyBorder="1" applyAlignment="1">
      <alignment horizontal="center" vertical="center" wrapText="1"/>
    </xf>
    <xf numFmtId="164" fontId="11" fillId="0" borderId="12" xfId="42" applyNumberFormat="1" applyFont="1" applyBorder="1" applyAlignment="1">
      <alignment horizontal="center" vertical="center" wrapText="1"/>
    </xf>
    <xf numFmtId="164" fontId="11" fillId="0" borderId="13" xfId="42" applyNumberFormat="1" applyFont="1" applyBorder="1" applyAlignment="1">
      <alignment horizontal="center" vertical="center" wrapText="1"/>
    </xf>
    <xf numFmtId="164" fontId="13" fillId="0" borderId="11" xfId="42" applyNumberFormat="1" applyFont="1" applyBorder="1" applyAlignment="1">
      <alignment horizontal="center" vertical="center" wrapText="1"/>
    </xf>
    <xf numFmtId="164" fontId="13" fillId="0" borderId="12" xfId="42" applyNumberFormat="1" applyFont="1" applyBorder="1" applyAlignment="1">
      <alignment horizontal="center" vertical="center" wrapText="1"/>
    </xf>
    <xf numFmtId="164" fontId="13" fillId="0" borderId="13" xfId="42" applyNumberFormat="1" applyFont="1" applyBorder="1" applyAlignment="1">
      <alignment horizontal="center" vertical="center" wrapText="1"/>
    </xf>
    <xf numFmtId="164" fontId="13" fillId="0" borderId="15" xfId="42" applyNumberFormat="1" applyFont="1" applyBorder="1" applyAlignment="1">
      <alignment horizontal="center" vertical="center" wrapText="1"/>
    </xf>
    <xf numFmtId="164" fontId="13" fillId="0" borderId="17" xfId="42" applyNumberFormat="1" applyFont="1" applyBorder="1" applyAlignment="1">
      <alignment horizontal="center" vertical="center" wrapText="1"/>
    </xf>
    <xf numFmtId="164" fontId="13" fillId="0" borderId="14" xfId="42" applyNumberFormat="1" applyFont="1" applyBorder="1" applyAlignment="1">
      <alignment horizontal="center" vertical="center" wrapText="1"/>
    </xf>
    <xf numFmtId="0" fontId="11" fillId="0" borderId="19" xfId="0" applyFont="1" applyBorder="1" applyAlignment="1">
      <alignment horizontal="center" vertical="center" wrapText="1"/>
    </xf>
    <xf numFmtId="0" fontId="11" fillId="0" borderId="16" xfId="0" applyFont="1" applyBorder="1" applyAlignment="1">
      <alignment horizontal="center" vertical="center" wrapText="1"/>
    </xf>
    <xf numFmtId="0" fontId="11" fillId="0" borderId="20" xfId="0" applyFont="1" applyBorder="1" applyAlignment="1">
      <alignment horizontal="center" vertical="center" wrapText="1"/>
    </xf>
    <xf numFmtId="0" fontId="11" fillId="0" borderId="21" xfId="0" applyFont="1" applyBorder="1" applyAlignment="1">
      <alignment horizontal="center" vertical="center" wrapText="1"/>
    </xf>
    <xf numFmtId="0" fontId="11" fillId="0" borderId="22" xfId="0" applyFont="1" applyBorder="1" applyAlignment="1">
      <alignment horizontal="center" vertical="center" wrapText="1"/>
    </xf>
    <xf numFmtId="0" fontId="11" fillId="0" borderId="23" xfId="0" applyFont="1" applyBorder="1" applyAlignment="1">
      <alignment horizontal="center" vertical="center" wrapText="1"/>
    </xf>
    <xf numFmtId="164" fontId="11" fillId="0" borderId="10" xfId="42" applyNumberFormat="1" applyFont="1" applyBorder="1" applyAlignment="1">
      <alignment horizontal="center" vertical="center" wrapText="1"/>
    </xf>
    <xf numFmtId="0" fontId="11" fillId="0" borderId="0" xfId="61" applyFont="1" applyFill="1" applyAlignment="1">
      <alignment horizontal="left" vertical="center"/>
      <protection/>
    </xf>
    <xf numFmtId="0" fontId="13" fillId="0" borderId="11" xfId="0" applyFont="1" applyFill="1" applyBorder="1" applyAlignment="1">
      <alignment horizontal="center" vertical="center"/>
    </xf>
    <xf numFmtId="0" fontId="13" fillId="0" borderId="12" xfId="0" applyFont="1" applyFill="1" applyBorder="1" applyAlignment="1">
      <alignment horizontal="center" vertical="center"/>
    </xf>
    <xf numFmtId="0" fontId="13" fillId="0" borderId="13" xfId="0" applyFont="1" applyFill="1" applyBorder="1" applyAlignment="1">
      <alignment horizontal="center" vertical="center"/>
    </xf>
    <xf numFmtId="0" fontId="19" fillId="0" borderId="19" xfId="0" applyFont="1" applyBorder="1" applyAlignment="1">
      <alignment horizontal="center"/>
    </xf>
    <xf numFmtId="0" fontId="19" fillId="0" borderId="16" xfId="0" applyFont="1" applyBorder="1" applyAlignment="1">
      <alignment horizontal="center"/>
    </xf>
    <xf numFmtId="0" fontId="19" fillId="0" borderId="20" xfId="0" applyFont="1" applyBorder="1" applyAlignment="1">
      <alignment horizontal="center"/>
    </xf>
    <xf numFmtId="0" fontId="19" fillId="0" borderId="21" xfId="0" applyFont="1" applyBorder="1" applyAlignment="1">
      <alignment horizontal="center"/>
    </xf>
    <xf numFmtId="0" fontId="19" fillId="0" borderId="22" xfId="0" applyFont="1" applyBorder="1" applyAlignment="1">
      <alignment horizontal="center"/>
    </xf>
    <xf numFmtId="0" fontId="19" fillId="0" borderId="23" xfId="0" applyFont="1" applyBorder="1" applyAlignment="1">
      <alignment horizontal="center"/>
    </xf>
    <xf numFmtId="164" fontId="11" fillId="0" borderId="19" xfId="42" applyNumberFormat="1" applyFont="1" applyFill="1" applyBorder="1" applyAlignment="1">
      <alignment horizontal="center" vertical="center" wrapText="1"/>
    </xf>
    <xf numFmtId="164" fontId="11" fillId="0" borderId="16" xfId="42" applyNumberFormat="1" applyFont="1" applyFill="1" applyBorder="1" applyAlignment="1">
      <alignment horizontal="center" vertical="center" wrapText="1"/>
    </xf>
    <xf numFmtId="164" fontId="11" fillId="0" borderId="20" xfId="42" applyNumberFormat="1" applyFont="1" applyFill="1" applyBorder="1" applyAlignment="1">
      <alignment horizontal="center" vertical="center" wrapText="1"/>
    </xf>
    <xf numFmtId="164" fontId="11" fillId="0" borderId="21" xfId="42" applyNumberFormat="1" applyFont="1" applyFill="1" applyBorder="1" applyAlignment="1">
      <alignment horizontal="center" vertical="center" wrapText="1"/>
    </xf>
    <xf numFmtId="164" fontId="11" fillId="0" borderId="22" xfId="42" applyNumberFormat="1" applyFont="1" applyFill="1" applyBorder="1" applyAlignment="1">
      <alignment horizontal="center" vertical="center" wrapText="1"/>
    </xf>
    <xf numFmtId="164" fontId="11" fillId="0" borderId="23" xfId="42" applyNumberFormat="1" applyFont="1" applyFill="1" applyBorder="1" applyAlignment="1">
      <alignment horizontal="center" vertical="center" wrapText="1"/>
    </xf>
    <xf numFmtId="164" fontId="11" fillId="0" borderId="24" xfId="42" applyNumberFormat="1" applyFont="1" applyFill="1" applyBorder="1" applyAlignment="1">
      <alignment horizontal="center" vertical="center" wrapText="1"/>
    </xf>
    <xf numFmtId="164" fontId="11" fillId="0" borderId="18" xfId="42" applyNumberFormat="1" applyFont="1" applyFill="1" applyBorder="1" applyAlignment="1">
      <alignment horizontal="center" vertical="center" wrapText="1"/>
    </xf>
    <xf numFmtId="1" fontId="13" fillId="0" borderId="10" xfId="0" applyNumberFormat="1" applyFont="1" applyFill="1" applyBorder="1" applyAlignment="1">
      <alignment horizontal="center" vertical="center" wrapText="1"/>
    </xf>
    <xf numFmtId="166" fontId="13" fillId="0" borderId="11" xfId="0" applyNumberFormat="1" applyFont="1" applyBorder="1" applyAlignment="1">
      <alignment horizontal="center" vertical="center" wrapText="1"/>
    </xf>
    <xf numFmtId="166" fontId="13" fillId="0" borderId="13" xfId="0" applyNumberFormat="1" applyFont="1" applyBorder="1" applyAlignment="1">
      <alignment horizontal="center" vertical="center" wrapText="1"/>
    </xf>
    <xf numFmtId="166" fontId="13" fillId="0" borderId="10" xfId="0" applyNumberFormat="1" applyFont="1" applyBorder="1" applyAlignment="1">
      <alignment horizontal="center" vertical="center" wrapText="1"/>
    </xf>
    <xf numFmtId="0" fontId="11" fillId="0" borderId="11" xfId="61" applyFont="1" applyFill="1" applyBorder="1" applyAlignment="1">
      <alignment horizontal="left" vertical="center" wrapText="1"/>
      <protection/>
    </xf>
    <xf numFmtId="0" fontId="11" fillId="0" borderId="13" xfId="61" applyFont="1" applyFill="1" applyBorder="1" applyAlignment="1">
      <alignment horizontal="left" vertical="center" wrapText="1"/>
      <protection/>
    </xf>
    <xf numFmtId="164" fontId="11" fillId="33" borderId="11" xfId="42" applyNumberFormat="1" applyFont="1" applyFill="1" applyBorder="1" applyAlignment="1" applyProtection="1">
      <alignment horizontal="right" vertical="center" wrapText="1"/>
      <protection/>
    </xf>
    <xf numFmtId="164" fontId="11" fillId="33" borderId="13" xfId="42" applyNumberFormat="1" applyFont="1" applyFill="1" applyBorder="1" applyAlignment="1" applyProtection="1">
      <alignment horizontal="right" vertical="center" wrapText="1"/>
      <protection/>
    </xf>
    <xf numFmtId="164" fontId="13" fillId="0" borderId="11" xfId="42" applyNumberFormat="1" applyFont="1" applyFill="1" applyBorder="1" applyAlignment="1">
      <alignment horizontal="center" vertical="center"/>
    </xf>
    <xf numFmtId="164" fontId="13" fillId="0" borderId="13" xfId="42" applyNumberFormat="1" applyFont="1" applyFill="1" applyBorder="1" applyAlignment="1">
      <alignment horizontal="center" vertical="center"/>
    </xf>
    <xf numFmtId="164" fontId="13" fillId="33" borderId="10" xfId="42" applyNumberFormat="1" applyFont="1" applyFill="1" applyBorder="1" applyAlignment="1">
      <alignment horizontal="right" vertical="center"/>
    </xf>
    <xf numFmtId="164" fontId="12" fillId="0" borderId="11" xfId="42" applyNumberFormat="1" applyFont="1" applyFill="1" applyBorder="1" applyAlignment="1" applyProtection="1">
      <alignment horizontal="center" vertical="center" wrapText="1"/>
      <protection/>
    </xf>
    <xf numFmtId="164" fontId="12" fillId="0" borderId="13" xfId="42" applyNumberFormat="1" applyFont="1" applyFill="1" applyBorder="1" applyAlignment="1" applyProtection="1">
      <alignment horizontal="center" vertical="center" wrapText="1"/>
      <protection/>
    </xf>
    <xf numFmtId="164" fontId="12" fillId="35" borderId="11" xfId="42" applyNumberFormat="1" applyFont="1" applyFill="1" applyBorder="1" applyAlignment="1" applyProtection="1">
      <alignment horizontal="center" vertical="center" wrapText="1"/>
      <protection/>
    </xf>
    <xf numFmtId="164" fontId="12" fillId="35" borderId="13" xfId="42" applyNumberFormat="1" applyFont="1" applyFill="1" applyBorder="1" applyAlignment="1" applyProtection="1">
      <alignment horizontal="center" vertical="center" wrapText="1"/>
      <protection/>
    </xf>
    <xf numFmtId="164" fontId="13" fillId="0" borderId="11" xfId="42" applyNumberFormat="1" applyFont="1" applyFill="1" applyBorder="1" applyAlignment="1" applyProtection="1">
      <alignment horizontal="center" vertical="center" wrapText="1"/>
      <protection/>
    </xf>
    <xf numFmtId="164" fontId="13" fillId="0" borderId="13" xfId="42" applyNumberFormat="1" applyFont="1" applyFill="1" applyBorder="1" applyAlignment="1" applyProtection="1">
      <alignment horizontal="center" vertical="center" wrapText="1"/>
      <protection/>
    </xf>
    <xf numFmtId="164" fontId="11" fillId="0" borderId="11" xfId="42" applyNumberFormat="1" applyFont="1" applyFill="1" applyBorder="1" applyAlignment="1">
      <alignment horizontal="left" vertical="center" wrapText="1"/>
    </xf>
    <xf numFmtId="164" fontId="11" fillId="0" borderId="13" xfId="42" applyNumberFormat="1" applyFont="1" applyFill="1" applyBorder="1" applyAlignment="1">
      <alignment horizontal="left" vertical="center" wrapText="1"/>
    </xf>
    <xf numFmtId="0" fontId="36" fillId="0" borderId="0" xfId="61" applyFont="1" applyFill="1" applyAlignment="1">
      <alignment horizontal="center" vertical="top"/>
      <protection/>
    </xf>
    <xf numFmtId="0" fontId="42" fillId="0" borderId="0" xfId="61" applyFont="1" applyFill="1" applyAlignment="1">
      <alignment horizontal="center"/>
      <protection/>
    </xf>
    <xf numFmtId="0" fontId="42" fillId="0" borderId="0" xfId="61" applyFont="1" applyFill="1" applyAlignment="1">
      <alignment horizontal="center" vertical="center"/>
      <protection/>
    </xf>
    <xf numFmtId="0" fontId="52" fillId="0" borderId="0" xfId="61" applyFont="1" applyFill="1" applyAlignment="1">
      <alignment horizontal="center" vertical="center"/>
      <protection/>
    </xf>
    <xf numFmtId="0" fontId="42" fillId="0" borderId="0" xfId="61" applyFont="1" applyFill="1" applyAlignment="1">
      <alignment horizontal="left" vertical="center"/>
      <protection/>
    </xf>
    <xf numFmtId="1" fontId="11" fillId="0" borderId="19" xfId="0" applyNumberFormat="1" applyFont="1" applyFill="1" applyBorder="1" applyAlignment="1">
      <alignment horizontal="center" vertical="center" wrapText="1"/>
    </xf>
    <xf numFmtId="1" fontId="11" fillId="0" borderId="16" xfId="0" applyNumberFormat="1" applyFont="1" applyFill="1" applyBorder="1" applyAlignment="1">
      <alignment horizontal="center" vertical="center" wrapText="1"/>
    </xf>
    <xf numFmtId="1" fontId="11" fillId="0" borderId="20" xfId="0" applyNumberFormat="1" applyFont="1" applyFill="1" applyBorder="1" applyAlignment="1">
      <alignment horizontal="center" vertical="center" wrapText="1"/>
    </xf>
    <xf numFmtId="1" fontId="11" fillId="0" borderId="21" xfId="0" applyNumberFormat="1" applyFont="1" applyFill="1" applyBorder="1" applyAlignment="1">
      <alignment horizontal="center" vertical="center" wrapText="1"/>
    </xf>
    <xf numFmtId="1" fontId="11" fillId="0" borderId="22" xfId="0" applyNumberFormat="1" applyFont="1" applyFill="1" applyBorder="1" applyAlignment="1">
      <alignment horizontal="center" vertical="center" wrapText="1"/>
    </xf>
    <xf numFmtId="1" fontId="11" fillId="0" borderId="23" xfId="0" applyNumberFormat="1" applyFont="1" applyFill="1" applyBorder="1" applyAlignment="1">
      <alignment horizontal="center" vertical="center" wrapText="1"/>
    </xf>
    <xf numFmtId="0" fontId="11" fillId="0" borderId="19" xfId="0" applyFont="1" applyFill="1" applyBorder="1" applyAlignment="1">
      <alignment horizontal="center" wrapText="1"/>
    </xf>
    <xf numFmtId="0" fontId="11" fillId="0" borderId="24" xfId="0" applyFont="1" applyFill="1" applyBorder="1" applyAlignment="1">
      <alignment horizontal="center" wrapText="1"/>
    </xf>
    <xf numFmtId="0" fontId="11" fillId="0" borderId="16" xfId="0" applyFont="1" applyFill="1" applyBorder="1" applyAlignment="1">
      <alignment horizontal="center" wrapText="1"/>
    </xf>
    <xf numFmtId="0" fontId="11" fillId="0" borderId="22" xfId="0" applyFont="1" applyFill="1" applyBorder="1" applyAlignment="1">
      <alignment horizontal="center" wrapText="1"/>
    </xf>
    <xf numFmtId="0" fontId="11" fillId="0" borderId="18" xfId="0" applyFont="1" applyFill="1" applyBorder="1" applyAlignment="1">
      <alignment horizontal="center" wrapText="1"/>
    </xf>
    <xf numFmtId="0" fontId="11" fillId="0" borderId="23" xfId="0" applyFont="1" applyFill="1" applyBorder="1" applyAlignment="1">
      <alignment horizontal="center" wrapText="1"/>
    </xf>
    <xf numFmtId="0" fontId="11" fillId="0" borderId="11" xfId="0" applyFont="1" applyFill="1" applyBorder="1" applyAlignment="1">
      <alignment horizontal="center" vertical="center"/>
    </xf>
    <xf numFmtId="0" fontId="11" fillId="0" borderId="12" xfId="0" applyFont="1" applyFill="1" applyBorder="1" applyAlignment="1">
      <alignment horizontal="center" vertical="center"/>
    </xf>
    <xf numFmtId="0" fontId="11" fillId="0" borderId="13" xfId="0" applyFont="1" applyFill="1" applyBorder="1" applyAlignment="1">
      <alignment horizontal="center" vertical="center"/>
    </xf>
    <xf numFmtId="0" fontId="45" fillId="0" borderId="11" xfId="59" applyFont="1" applyFill="1" applyBorder="1" applyAlignment="1">
      <alignment horizontal="left" wrapText="1"/>
      <protection/>
    </xf>
    <xf numFmtId="0" fontId="45" fillId="0" borderId="13" xfId="59" applyFont="1" applyFill="1" applyBorder="1" applyAlignment="1">
      <alignment horizontal="left" wrapText="1"/>
      <protection/>
    </xf>
    <xf numFmtId="0" fontId="19" fillId="0" borderId="13" xfId="0" applyFont="1" applyFill="1" applyBorder="1" applyAlignment="1">
      <alignment horizontal="center" vertical="center"/>
    </xf>
    <xf numFmtId="49" fontId="13" fillId="0" borderId="11" xfId="0" applyNumberFormat="1" applyFont="1" applyFill="1" applyBorder="1" applyAlignment="1">
      <alignment horizontal="center" vertical="center" wrapText="1"/>
    </xf>
    <xf numFmtId="49" fontId="13" fillId="0" borderId="13" xfId="0" applyNumberFormat="1" applyFont="1" applyFill="1" applyBorder="1" applyAlignment="1">
      <alignment horizontal="center" vertical="center" wrapText="1"/>
    </xf>
    <xf numFmtId="49" fontId="13" fillId="0" borderId="15" xfId="0" applyNumberFormat="1" applyFont="1" applyFill="1" applyBorder="1" applyAlignment="1">
      <alignment horizontal="center" vertical="center" wrapText="1"/>
    </xf>
    <xf numFmtId="49" fontId="13" fillId="0" borderId="14" xfId="0" applyNumberFormat="1" applyFont="1" applyFill="1" applyBorder="1" applyAlignment="1">
      <alignment horizontal="center" vertical="center" wrapText="1"/>
    </xf>
    <xf numFmtId="49" fontId="11" fillId="0" borderId="19" xfId="0" applyNumberFormat="1" applyFont="1" applyFill="1" applyBorder="1" applyAlignment="1">
      <alignment horizontal="center" vertical="center" wrapText="1"/>
    </xf>
    <xf numFmtId="49" fontId="11" fillId="0" borderId="24" xfId="0" applyNumberFormat="1" applyFont="1" applyFill="1" applyBorder="1" applyAlignment="1">
      <alignment horizontal="center" vertical="center" wrapText="1"/>
    </xf>
    <xf numFmtId="49" fontId="11" fillId="0" borderId="16" xfId="0" applyNumberFormat="1" applyFont="1" applyFill="1" applyBorder="1" applyAlignment="1">
      <alignment horizontal="center" vertical="center" wrapText="1"/>
    </xf>
    <xf numFmtId="49" fontId="11" fillId="0" borderId="22" xfId="0" applyNumberFormat="1" applyFont="1" applyFill="1" applyBorder="1" applyAlignment="1">
      <alignment horizontal="center" vertical="center" wrapText="1"/>
    </xf>
    <xf numFmtId="49" fontId="11" fillId="0" borderId="18" xfId="0" applyNumberFormat="1" applyFont="1" applyFill="1" applyBorder="1" applyAlignment="1">
      <alignment horizontal="center" vertical="center" wrapText="1"/>
    </xf>
    <xf numFmtId="49" fontId="11" fillId="0" borderId="23" xfId="0" applyNumberFormat="1" applyFont="1" applyFill="1" applyBorder="1" applyAlignment="1">
      <alignment horizontal="center" vertical="center" wrapText="1"/>
    </xf>
    <xf numFmtId="1" fontId="13" fillId="0" borderId="11" xfId="0" applyNumberFormat="1" applyFont="1" applyFill="1" applyBorder="1" applyAlignment="1">
      <alignment horizontal="center" vertical="center" wrapText="1"/>
    </xf>
    <xf numFmtId="1" fontId="13" fillId="0" borderId="13" xfId="0" applyNumberFormat="1" applyFont="1" applyFill="1" applyBorder="1" applyAlignment="1">
      <alignment horizontal="center" vertical="center" wrapText="1"/>
    </xf>
    <xf numFmtId="0" fontId="36" fillId="0" borderId="0" xfId="59" applyFont="1" applyFill="1" applyAlignment="1">
      <alignment horizontal="left" vertical="top"/>
      <protection/>
    </xf>
    <xf numFmtId="0" fontId="52" fillId="0" borderId="0" xfId="59" applyFont="1" applyFill="1" applyAlignment="1">
      <alignment horizontal="center" vertical="center"/>
      <protection/>
    </xf>
    <xf numFmtId="194" fontId="13" fillId="0" borderId="15" xfId="45" applyNumberFormat="1" applyFont="1" applyFill="1" applyBorder="1" applyAlignment="1">
      <alignment horizontal="center" vertical="center" wrapText="1"/>
    </xf>
    <xf numFmtId="194" fontId="13" fillId="0" borderId="14" xfId="45" applyNumberFormat="1" applyFont="1" applyFill="1" applyBorder="1" applyAlignment="1">
      <alignment horizontal="center" vertical="center" wrapText="1"/>
    </xf>
    <xf numFmtId="164" fontId="11" fillId="0" borderId="15" xfId="44" applyNumberFormat="1" applyFont="1" applyFill="1" applyBorder="1" applyAlignment="1">
      <alignment horizontal="center" vertical="center" wrapText="1"/>
    </xf>
    <xf numFmtId="164" fontId="11" fillId="0" borderId="17" xfId="44" applyNumberFormat="1" applyFont="1" applyFill="1" applyBorder="1" applyAlignment="1">
      <alignment horizontal="center" vertical="center" wrapText="1"/>
    </xf>
    <xf numFmtId="164" fontId="11" fillId="0" borderId="14" xfId="44" applyNumberFormat="1" applyFont="1" applyFill="1" applyBorder="1" applyAlignment="1">
      <alignment horizontal="center" vertical="center" wrapText="1"/>
    </xf>
    <xf numFmtId="1" fontId="13" fillId="0" borderId="10" xfId="61" applyNumberFormat="1" applyFont="1" applyFill="1" applyBorder="1" applyAlignment="1">
      <alignment horizontal="center" vertical="center" wrapText="1"/>
      <protection/>
    </xf>
    <xf numFmtId="0" fontId="13" fillId="0" borderId="15" xfId="61" applyFont="1" applyFill="1" applyBorder="1" applyAlignment="1">
      <alignment horizontal="center" vertical="center" wrapText="1"/>
      <protection/>
    </xf>
    <xf numFmtId="0" fontId="13" fillId="0" borderId="14" xfId="61" applyFont="1" applyFill="1" applyBorder="1" applyAlignment="1">
      <alignment horizontal="center" vertical="center" wrapText="1"/>
      <protection/>
    </xf>
    <xf numFmtId="164" fontId="11" fillId="0" borderId="19" xfId="44" applyNumberFormat="1" applyFont="1" applyFill="1" applyBorder="1" applyAlignment="1">
      <alignment horizontal="center" vertical="center" wrapText="1"/>
    </xf>
    <xf numFmtId="164" fontId="11" fillId="0" borderId="24" xfId="44" applyNumberFormat="1" applyFont="1" applyFill="1" applyBorder="1" applyAlignment="1">
      <alignment horizontal="center" vertical="center" wrapText="1"/>
    </xf>
    <xf numFmtId="164" fontId="11" fillId="0" borderId="16" xfId="44" applyNumberFormat="1" applyFont="1" applyFill="1" applyBorder="1" applyAlignment="1">
      <alignment horizontal="center" vertical="center" wrapText="1"/>
    </xf>
    <xf numFmtId="164" fontId="11" fillId="0" borderId="22" xfId="44" applyNumberFormat="1" applyFont="1" applyFill="1" applyBorder="1" applyAlignment="1">
      <alignment horizontal="center" vertical="center" wrapText="1"/>
    </xf>
    <xf numFmtId="164" fontId="11" fillId="0" borderId="18" xfId="44" applyNumberFormat="1" applyFont="1" applyFill="1" applyBorder="1" applyAlignment="1">
      <alignment horizontal="center" vertical="center" wrapText="1"/>
    </xf>
    <xf numFmtId="164" fontId="11" fillId="0" borderId="23" xfId="44" applyNumberFormat="1" applyFont="1" applyFill="1" applyBorder="1" applyAlignment="1">
      <alignment horizontal="center" vertical="center" wrapText="1"/>
    </xf>
    <xf numFmtId="0" fontId="11" fillId="0" borderId="10" xfId="61" applyFont="1" applyFill="1" applyBorder="1" applyAlignment="1">
      <alignment horizontal="center" vertical="center" wrapText="1"/>
      <protection/>
    </xf>
    <xf numFmtId="0" fontId="13" fillId="0" borderId="11" xfId="61" applyFont="1" applyFill="1" applyBorder="1" applyAlignment="1">
      <alignment horizontal="center"/>
      <protection/>
    </xf>
    <xf numFmtId="0" fontId="13" fillId="0" borderId="13" xfId="61" applyFont="1" applyFill="1" applyBorder="1" applyAlignment="1">
      <alignment horizontal="center"/>
      <protection/>
    </xf>
    <xf numFmtId="164" fontId="45" fillId="0" borderId="15" xfId="44" applyNumberFormat="1" applyFont="1" applyFill="1" applyBorder="1" applyAlignment="1">
      <alignment horizontal="center" vertical="center" wrapText="1"/>
    </xf>
    <xf numFmtId="164" fontId="45" fillId="0" borderId="17" xfId="44" applyNumberFormat="1" applyFont="1" applyFill="1" applyBorder="1" applyAlignment="1">
      <alignment horizontal="center" vertical="center" wrapText="1"/>
    </xf>
    <xf numFmtId="164" fontId="45" fillId="0" borderId="14" xfId="44" applyNumberFormat="1" applyFont="1" applyFill="1" applyBorder="1" applyAlignment="1">
      <alignment horizontal="center" vertical="center" wrapText="1"/>
    </xf>
    <xf numFmtId="0" fontId="8" fillId="0" borderId="11" xfId="61" applyFont="1" applyFill="1" applyBorder="1" applyAlignment="1">
      <alignment horizontal="left" vertical="center" wrapText="1"/>
      <protection/>
    </xf>
    <xf numFmtId="0" fontId="8" fillId="0" borderId="13" xfId="61" applyFont="1" applyFill="1" applyBorder="1" applyAlignment="1">
      <alignment horizontal="left" vertical="center" wrapText="1"/>
      <protection/>
    </xf>
    <xf numFmtId="0" fontId="13" fillId="0" borderId="11" xfId="61" applyFont="1" applyFill="1" applyBorder="1" applyAlignment="1">
      <alignment horizontal="center" vertical="center"/>
      <protection/>
    </xf>
    <xf numFmtId="0" fontId="13" fillId="0" borderId="13" xfId="61" applyFont="1" applyFill="1" applyBorder="1" applyAlignment="1">
      <alignment horizontal="center" vertical="center"/>
      <protection/>
    </xf>
    <xf numFmtId="164" fontId="13" fillId="0" borderId="15" xfId="44" applyNumberFormat="1" applyFont="1" applyFill="1" applyBorder="1" applyAlignment="1">
      <alignment horizontal="center" vertical="center" wrapText="1"/>
    </xf>
    <xf numFmtId="164" fontId="13" fillId="0" borderId="17" xfId="44" applyNumberFormat="1" applyFont="1" applyFill="1" applyBorder="1" applyAlignment="1">
      <alignment horizontal="center" vertical="center" wrapText="1"/>
    </xf>
    <xf numFmtId="164" fontId="13" fillId="0" borderId="14" xfId="44" applyNumberFormat="1" applyFont="1" applyFill="1" applyBorder="1" applyAlignment="1">
      <alignment horizontal="center" vertical="center" wrapText="1"/>
    </xf>
    <xf numFmtId="164" fontId="13" fillId="0" borderId="11" xfId="44" applyNumberFormat="1" applyFont="1" applyFill="1" applyBorder="1" applyAlignment="1">
      <alignment horizontal="center" vertical="center" wrapText="1"/>
    </xf>
    <xf numFmtId="164" fontId="13" fillId="0" borderId="13" xfId="44" applyNumberFormat="1" applyFont="1" applyFill="1" applyBorder="1" applyAlignment="1">
      <alignment horizontal="center" vertical="center" wrapText="1"/>
    </xf>
    <xf numFmtId="0" fontId="13" fillId="0" borderId="11" xfId="61" applyFont="1" applyFill="1" applyBorder="1" applyAlignment="1">
      <alignment horizontal="center" vertical="center" wrapText="1"/>
      <protection/>
    </xf>
    <xf numFmtId="0" fontId="13" fillId="0" borderId="12" xfId="61" applyFont="1" applyFill="1" applyBorder="1" applyAlignment="1">
      <alignment horizontal="center" vertical="center" wrapText="1"/>
      <protection/>
    </xf>
    <xf numFmtId="0" fontId="13" fillId="0" borderId="13" xfId="61" applyFont="1" applyFill="1" applyBorder="1" applyAlignment="1">
      <alignment horizontal="center" vertical="center" wrapText="1"/>
      <protection/>
    </xf>
    <xf numFmtId="0" fontId="13" fillId="0" borderId="17" xfId="61" applyFont="1" applyFill="1" applyBorder="1" applyAlignment="1">
      <alignment horizontal="center" vertical="center" wrapText="1"/>
      <protection/>
    </xf>
    <xf numFmtId="0" fontId="36" fillId="0" borderId="0" xfId="61" applyFont="1" applyFill="1" applyAlignment="1">
      <alignment horizontal="left" vertical="top"/>
      <protection/>
    </xf>
    <xf numFmtId="0" fontId="4" fillId="0" borderId="0" xfId="61" applyFont="1" applyFill="1" applyAlignment="1">
      <alignment horizontal="center" vertical="center"/>
      <protection/>
    </xf>
    <xf numFmtId="1" fontId="13" fillId="0" borderId="19" xfId="61" applyNumberFormat="1" applyFont="1" applyFill="1" applyBorder="1" applyAlignment="1">
      <alignment horizontal="center" vertical="center" wrapText="1"/>
      <protection/>
    </xf>
    <xf numFmtId="1" fontId="13" fillId="0" borderId="16" xfId="61" applyNumberFormat="1" applyFont="1" applyFill="1" applyBorder="1" applyAlignment="1">
      <alignment horizontal="center" vertical="center" wrapText="1"/>
      <protection/>
    </xf>
    <xf numFmtId="1" fontId="13" fillId="0" borderId="20" xfId="61" applyNumberFormat="1" applyFont="1" applyFill="1" applyBorder="1" applyAlignment="1">
      <alignment horizontal="center" vertical="center" wrapText="1"/>
      <protection/>
    </xf>
    <xf numFmtId="1" fontId="13" fillId="0" borderId="21" xfId="61" applyNumberFormat="1" applyFont="1" applyFill="1" applyBorder="1" applyAlignment="1">
      <alignment horizontal="center" vertical="center" wrapText="1"/>
      <protection/>
    </xf>
    <xf numFmtId="1" fontId="13" fillId="0" borderId="22" xfId="61" applyNumberFormat="1" applyFont="1" applyFill="1" applyBorder="1" applyAlignment="1">
      <alignment horizontal="center" vertical="center" wrapText="1"/>
      <protection/>
    </xf>
    <xf numFmtId="1" fontId="13" fillId="0" borderId="23" xfId="61" applyNumberFormat="1" applyFont="1" applyFill="1" applyBorder="1" applyAlignment="1">
      <alignment horizontal="center" vertical="center" wrapText="1"/>
      <protection/>
    </xf>
    <xf numFmtId="0" fontId="11" fillId="0" borderId="19" xfId="61" applyFont="1" applyFill="1" applyBorder="1" applyAlignment="1">
      <alignment horizontal="center" vertical="center" wrapText="1"/>
      <protection/>
    </xf>
    <xf numFmtId="0" fontId="11" fillId="0" borderId="24" xfId="61" applyFont="1" applyFill="1" applyBorder="1" applyAlignment="1">
      <alignment horizontal="center" vertical="center" wrapText="1"/>
      <protection/>
    </xf>
    <xf numFmtId="0" fontId="11" fillId="0" borderId="16" xfId="61" applyFont="1" applyFill="1" applyBorder="1" applyAlignment="1">
      <alignment horizontal="center" vertical="center" wrapText="1"/>
      <protection/>
    </xf>
    <xf numFmtId="0" fontId="45" fillId="0" borderId="10" xfId="61" applyFont="1" applyFill="1" applyBorder="1" applyAlignment="1">
      <alignment horizontal="center" vertical="center" wrapText="1"/>
      <protection/>
    </xf>
    <xf numFmtId="0" fontId="45" fillId="0" borderId="15" xfId="61" applyFont="1" applyFill="1" applyBorder="1" applyAlignment="1">
      <alignment horizontal="center" vertical="center" wrapText="1"/>
      <protection/>
    </xf>
    <xf numFmtId="0" fontId="11" fillId="0" borderId="15" xfId="61" applyFont="1" applyFill="1" applyBorder="1" applyAlignment="1">
      <alignment horizontal="center" vertical="center" wrapText="1"/>
      <protection/>
    </xf>
    <xf numFmtId="0" fontId="11" fillId="0" borderId="17" xfId="61" applyFont="1" applyFill="1" applyBorder="1" applyAlignment="1">
      <alignment horizontal="center" vertical="center" wrapText="1"/>
      <protection/>
    </xf>
    <xf numFmtId="0" fontId="11" fillId="0" borderId="14" xfId="61" applyFont="1" applyFill="1" applyBorder="1" applyAlignment="1">
      <alignment horizontal="center" vertical="center" wrapText="1"/>
      <protection/>
    </xf>
    <xf numFmtId="0" fontId="13" fillId="0" borderId="10" xfId="0" applyFont="1" applyBorder="1" applyAlignment="1">
      <alignment horizontal="center" wrapText="1"/>
    </xf>
    <xf numFmtId="0" fontId="11" fillId="0" borderId="10" xfId="0" applyFont="1" applyBorder="1" applyAlignment="1">
      <alignment horizontal="center" vertical="top" wrapText="1"/>
    </xf>
    <xf numFmtId="0" fontId="10" fillId="0" borderId="10" xfId="0" applyFont="1" applyBorder="1" applyAlignment="1">
      <alignment vertical="center"/>
    </xf>
    <xf numFmtId="0" fontId="11" fillId="0" borderId="10" xfId="0" applyFont="1" applyBorder="1" applyAlignment="1">
      <alignment horizontal="center" vertical="center"/>
    </xf>
    <xf numFmtId="0" fontId="13" fillId="0" borderId="10" xfId="0" applyFont="1" applyBorder="1" applyAlignment="1">
      <alignment horizontal="center" vertical="center"/>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_Bieusoket6thangdaunam VUong 03072014- bieu BDG- Huyen sua"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 2_Bieu mau Thong ke - phuc vu tong ket (2011-10-04)- sua theo y chi Yen" xfId="60"/>
    <cellStyle name="Normal 2_Bieu mau Thong ke - phuc vu tong ket (2011-10-24)- sua theo gop y cua cac don vi" xfId="61"/>
    <cellStyle name="Normal 2_Bieu mau Thong ke TP(2011-09-20)" xfId="62"/>
    <cellStyle name="Normal 2_Nhap so lieu phuc vu Tong ket 2013 (2013-11-19 Chieu)" xfId="63"/>
    <cellStyle name="Note" xfId="64"/>
    <cellStyle name="Output" xfId="65"/>
    <cellStyle name="Percent"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externalLink" Target="externalLinks/externalLink1.xml" /><Relationship Id="rId25" Type="http://schemas.openxmlformats.org/officeDocument/2006/relationships/externalLink" Target="externalLinks/externalLink2.xml" /><Relationship Id="rId2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0</xdr:row>
      <xdr:rowOff>238125</xdr:rowOff>
    </xdr:from>
    <xdr:to>
      <xdr:col>1</xdr:col>
      <xdr:colOff>371475</xdr:colOff>
      <xdr:row>0</xdr:row>
      <xdr:rowOff>238125</xdr:rowOff>
    </xdr:to>
    <xdr:sp>
      <xdr:nvSpPr>
        <xdr:cNvPr id="1" name="Straight Connector 1"/>
        <xdr:cNvSpPr>
          <a:spLocks/>
        </xdr:cNvSpPr>
      </xdr:nvSpPr>
      <xdr:spPr>
        <a:xfrm>
          <a:off x="295275" y="238125"/>
          <a:ext cx="3714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247650</xdr:colOff>
      <xdr:row>0</xdr:row>
      <xdr:rowOff>238125</xdr:rowOff>
    </xdr:from>
    <xdr:to>
      <xdr:col>1</xdr:col>
      <xdr:colOff>514350</xdr:colOff>
      <xdr:row>0</xdr:row>
      <xdr:rowOff>238125</xdr:rowOff>
    </xdr:to>
    <xdr:sp>
      <xdr:nvSpPr>
        <xdr:cNvPr id="1" name="Straight Connector 1"/>
        <xdr:cNvSpPr>
          <a:spLocks/>
        </xdr:cNvSpPr>
      </xdr:nvSpPr>
      <xdr:spPr>
        <a:xfrm>
          <a:off x="247650" y="238125"/>
          <a:ext cx="5238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247650</xdr:colOff>
      <xdr:row>0</xdr:row>
      <xdr:rowOff>209550</xdr:rowOff>
    </xdr:from>
    <xdr:to>
      <xdr:col>1</xdr:col>
      <xdr:colOff>514350</xdr:colOff>
      <xdr:row>0</xdr:row>
      <xdr:rowOff>209550</xdr:rowOff>
    </xdr:to>
    <xdr:sp>
      <xdr:nvSpPr>
        <xdr:cNvPr id="1" name="Straight Connector 1"/>
        <xdr:cNvSpPr>
          <a:spLocks/>
        </xdr:cNvSpPr>
      </xdr:nvSpPr>
      <xdr:spPr>
        <a:xfrm>
          <a:off x="247650" y="209550"/>
          <a:ext cx="5238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0</xdr:row>
      <xdr:rowOff>238125</xdr:rowOff>
    </xdr:from>
    <xdr:to>
      <xdr:col>1</xdr:col>
      <xdr:colOff>371475</xdr:colOff>
      <xdr:row>0</xdr:row>
      <xdr:rowOff>238125</xdr:rowOff>
    </xdr:to>
    <xdr:sp>
      <xdr:nvSpPr>
        <xdr:cNvPr id="1" name="Straight Connector 1"/>
        <xdr:cNvSpPr>
          <a:spLocks/>
        </xdr:cNvSpPr>
      </xdr:nvSpPr>
      <xdr:spPr>
        <a:xfrm>
          <a:off x="295275" y="238125"/>
          <a:ext cx="3714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1</xdr:row>
      <xdr:rowOff>9525</xdr:rowOff>
    </xdr:from>
    <xdr:to>
      <xdr:col>2</xdr:col>
      <xdr:colOff>0</xdr:colOff>
      <xdr:row>1</xdr:row>
      <xdr:rowOff>9525</xdr:rowOff>
    </xdr:to>
    <xdr:sp>
      <xdr:nvSpPr>
        <xdr:cNvPr id="1" name="Line 1"/>
        <xdr:cNvSpPr>
          <a:spLocks/>
        </xdr:cNvSpPr>
      </xdr:nvSpPr>
      <xdr:spPr>
        <a:xfrm>
          <a:off x="2238375" y="247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0</xdr:row>
      <xdr:rowOff>238125</xdr:rowOff>
    </xdr:from>
    <xdr:to>
      <xdr:col>2</xdr:col>
      <xdr:colOff>447675</xdr:colOff>
      <xdr:row>0</xdr:row>
      <xdr:rowOff>238125</xdr:rowOff>
    </xdr:to>
    <xdr:sp>
      <xdr:nvSpPr>
        <xdr:cNvPr id="1" name="Straight Connector 1"/>
        <xdr:cNvSpPr>
          <a:spLocks/>
        </xdr:cNvSpPr>
      </xdr:nvSpPr>
      <xdr:spPr>
        <a:xfrm>
          <a:off x="209550" y="238125"/>
          <a:ext cx="7905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0</xdr:row>
      <xdr:rowOff>238125</xdr:rowOff>
    </xdr:from>
    <xdr:to>
      <xdr:col>1</xdr:col>
      <xdr:colOff>447675</xdr:colOff>
      <xdr:row>0</xdr:row>
      <xdr:rowOff>238125</xdr:rowOff>
    </xdr:to>
    <xdr:sp>
      <xdr:nvSpPr>
        <xdr:cNvPr id="1" name="Straight Connector 1"/>
        <xdr:cNvSpPr>
          <a:spLocks/>
        </xdr:cNvSpPr>
      </xdr:nvSpPr>
      <xdr:spPr>
        <a:xfrm>
          <a:off x="209550" y="238125"/>
          <a:ext cx="5143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504825</xdr:colOff>
      <xdr:row>1</xdr:row>
      <xdr:rowOff>19050</xdr:rowOff>
    </xdr:from>
    <xdr:to>
      <xdr:col>1</xdr:col>
      <xdr:colOff>1047750</xdr:colOff>
      <xdr:row>1</xdr:row>
      <xdr:rowOff>19050</xdr:rowOff>
    </xdr:to>
    <xdr:sp>
      <xdr:nvSpPr>
        <xdr:cNvPr id="1" name="Straight Connector 1"/>
        <xdr:cNvSpPr>
          <a:spLocks/>
        </xdr:cNvSpPr>
      </xdr:nvSpPr>
      <xdr:spPr>
        <a:xfrm>
          <a:off x="809625" y="228600"/>
          <a:ext cx="5429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0</xdr:row>
      <xdr:rowOff>238125</xdr:rowOff>
    </xdr:from>
    <xdr:to>
      <xdr:col>1</xdr:col>
      <xdr:colOff>447675</xdr:colOff>
      <xdr:row>0</xdr:row>
      <xdr:rowOff>238125</xdr:rowOff>
    </xdr:to>
    <xdr:sp>
      <xdr:nvSpPr>
        <xdr:cNvPr id="1" name="Straight Connector 1"/>
        <xdr:cNvSpPr>
          <a:spLocks/>
        </xdr:cNvSpPr>
      </xdr:nvSpPr>
      <xdr:spPr>
        <a:xfrm>
          <a:off x="209550" y="238125"/>
          <a:ext cx="5429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0</xdr:row>
      <xdr:rowOff>0</xdr:rowOff>
    </xdr:from>
    <xdr:to>
      <xdr:col>1</xdr:col>
      <xdr:colOff>447675</xdr:colOff>
      <xdr:row>0</xdr:row>
      <xdr:rowOff>0</xdr:rowOff>
    </xdr:to>
    <xdr:sp>
      <xdr:nvSpPr>
        <xdr:cNvPr id="1" name="Straight Connector 1"/>
        <xdr:cNvSpPr>
          <a:spLocks/>
        </xdr:cNvSpPr>
      </xdr:nvSpPr>
      <xdr:spPr>
        <a:xfrm>
          <a:off x="209550" y="0"/>
          <a:ext cx="5429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209550</xdr:colOff>
      <xdr:row>0</xdr:row>
      <xdr:rowOff>238125</xdr:rowOff>
    </xdr:from>
    <xdr:to>
      <xdr:col>1</xdr:col>
      <xdr:colOff>447675</xdr:colOff>
      <xdr:row>0</xdr:row>
      <xdr:rowOff>238125</xdr:rowOff>
    </xdr:to>
    <xdr:sp>
      <xdr:nvSpPr>
        <xdr:cNvPr id="2" name="Straight Connector 1"/>
        <xdr:cNvSpPr>
          <a:spLocks/>
        </xdr:cNvSpPr>
      </xdr:nvSpPr>
      <xdr:spPr>
        <a:xfrm>
          <a:off x="209550" y="238125"/>
          <a:ext cx="5429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1</xdr:row>
      <xdr:rowOff>38100</xdr:rowOff>
    </xdr:from>
    <xdr:to>
      <xdr:col>1</xdr:col>
      <xdr:colOff>476250</xdr:colOff>
      <xdr:row>1</xdr:row>
      <xdr:rowOff>38100</xdr:rowOff>
    </xdr:to>
    <xdr:sp>
      <xdr:nvSpPr>
        <xdr:cNvPr id="1" name="Straight Connector 2"/>
        <xdr:cNvSpPr>
          <a:spLocks/>
        </xdr:cNvSpPr>
      </xdr:nvSpPr>
      <xdr:spPr>
        <a:xfrm>
          <a:off x="209550" y="247650"/>
          <a:ext cx="6096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0</xdr:row>
      <xdr:rowOff>238125</xdr:rowOff>
    </xdr:from>
    <xdr:to>
      <xdr:col>1</xdr:col>
      <xdr:colOff>371475</xdr:colOff>
      <xdr:row>0</xdr:row>
      <xdr:rowOff>238125</xdr:rowOff>
    </xdr:to>
    <xdr:sp>
      <xdr:nvSpPr>
        <xdr:cNvPr id="1" name="Straight Connector 1"/>
        <xdr:cNvSpPr>
          <a:spLocks/>
        </xdr:cNvSpPr>
      </xdr:nvSpPr>
      <xdr:spPr>
        <a:xfrm>
          <a:off x="295275" y="238125"/>
          <a:ext cx="3714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123825</xdr:colOff>
      <xdr:row>0</xdr:row>
      <xdr:rowOff>228600</xdr:rowOff>
    </xdr:from>
    <xdr:to>
      <xdr:col>1</xdr:col>
      <xdr:colOff>495300</xdr:colOff>
      <xdr:row>0</xdr:row>
      <xdr:rowOff>228600</xdr:rowOff>
    </xdr:to>
    <xdr:sp>
      <xdr:nvSpPr>
        <xdr:cNvPr id="1" name="Straight Connector 1"/>
        <xdr:cNvSpPr>
          <a:spLocks/>
        </xdr:cNvSpPr>
      </xdr:nvSpPr>
      <xdr:spPr>
        <a:xfrm>
          <a:off x="428625" y="228600"/>
          <a:ext cx="3714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123825</xdr:colOff>
      <xdr:row>0</xdr:row>
      <xdr:rowOff>228600</xdr:rowOff>
    </xdr:from>
    <xdr:to>
      <xdr:col>1</xdr:col>
      <xdr:colOff>495300</xdr:colOff>
      <xdr:row>0</xdr:row>
      <xdr:rowOff>228600</xdr:rowOff>
    </xdr:to>
    <xdr:sp>
      <xdr:nvSpPr>
        <xdr:cNvPr id="1" name="Straight Connector 1"/>
        <xdr:cNvSpPr>
          <a:spLocks/>
        </xdr:cNvSpPr>
      </xdr:nvSpPr>
      <xdr:spPr>
        <a:xfrm>
          <a:off x="342900" y="228600"/>
          <a:ext cx="3714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123825</xdr:colOff>
      <xdr:row>0</xdr:row>
      <xdr:rowOff>228600</xdr:rowOff>
    </xdr:from>
    <xdr:to>
      <xdr:col>1</xdr:col>
      <xdr:colOff>495300</xdr:colOff>
      <xdr:row>0</xdr:row>
      <xdr:rowOff>228600</xdr:rowOff>
    </xdr:to>
    <xdr:sp>
      <xdr:nvSpPr>
        <xdr:cNvPr id="1" name="Straight Connector 1"/>
        <xdr:cNvSpPr>
          <a:spLocks/>
        </xdr:cNvSpPr>
      </xdr:nvSpPr>
      <xdr:spPr>
        <a:xfrm>
          <a:off x="342900" y="228600"/>
          <a:ext cx="3714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123825</xdr:colOff>
      <xdr:row>0</xdr:row>
      <xdr:rowOff>228600</xdr:rowOff>
    </xdr:from>
    <xdr:to>
      <xdr:col>1</xdr:col>
      <xdr:colOff>495300</xdr:colOff>
      <xdr:row>0</xdr:row>
      <xdr:rowOff>228600</xdr:rowOff>
    </xdr:to>
    <xdr:sp>
      <xdr:nvSpPr>
        <xdr:cNvPr id="1" name="Straight Connector 1"/>
        <xdr:cNvSpPr>
          <a:spLocks/>
        </xdr:cNvSpPr>
      </xdr:nvSpPr>
      <xdr:spPr>
        <a:xfrm>
          <a:off x="342900" y="228600"/>
          <a:ext cx="3714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247650</xdr:colOff>
      <xdr:row>0</xdr:row>
      <xdr:rowOff>238125</xdr:rowOff>
    </xdr:from>
    <xdr:to>
      <xdr:col>1</xdr:col>
      <xdr:colOff>514350</xdr:colOff>
      <xdr:row>0</xdr:row>
      <xdr:rowOff>238125</xdr:rowOff>
    </xdr:to>
    <xdr:sp>
      <xdr:nvSpPr>
        <xdr:cNvPr id="1" name="Straight Connector 2"/>
        <xdr:cNvSpPr>
          <a:spLocks/>
        </xdr:cNvSpPr>
      </xdr:nvSpPr>
      <xdr:spPr>
        <a:xfrm>
          <a:off x="247650" y="238125"/>
          <a:ext cx="5238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276225</xdr:rowOff>
    </xdr:from>
    <xdr:to>
      <xdr:col>1</xdr:col>
      <xdr:colOff>409575</xdr:colOff>
      <xdr:row>0</xdr:row>
      <xdr:rowOff>276225</xdr:rowOff>
    </xdr:to>
    <xdr:sp>
      <xdr:nvSpPr>
        <xdr:cNvPr id="1" name="Straight Connector 2"/>
        <xdr:cNvSpPr>
          <a:spLocks/>
        </xdr:cNvSpPr>
      </xdr:nvSpPr>
      <xdr:spPr>
        <a:xfrm>
          <a:off x="142875" y="276225"/>
          <a:ext cx="7620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247650</xdr:colOff>
      <xdr:row>0</xdr:row>
      <xdr:rowOff>238125</xdr:rowOff>
    </xdr:from>
    <xdr:to>
      <xdr:col>1</xdr:col>
      <xdr:colOff>514350</xdr:colOff>
      <xdr:row>0</xdr:row>
      <xdr:rowOff>238125</xdr:rowOff>
    </xdr:to>
    <xdr:sp>
      <xdr:nvSpPr>
        <xdr:cNvPr id="1" name="Straight Connector 1"/>
        <xdr:cNvSpPr>
          <a:spLocks/>
        </xdr:cNvSpPr>
      </xdr:nvSpPr>
      <xdr:spPr>
        <a:xfrm>
          <a:off x="247650" y="238125"/>
          <a:ext cx="5238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Admin\My%20Documents\Downloads\Tong%20hop%20tk%206%20thang%202013%20(2013-7-18)-%20Gui%20VP%20Bo.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ocuments%20and%20Settings\Admin\My%20Documents\Downloads\Tong%20hop%20nam%202013%20(2014-01-04)-%20gui%20VP%20Bo-fina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
      <sheetName val="2A"/>
      <sheetName val="2B"/>
      <sheetName val="3"/>
      <sheetName val="4"/>
      <sheetName val="4 (2)"/>
      <sheetName val="5"/>
      <sheetName val="6"/>
      <sheetName val="7"/>
      <sheetName val=" 8"/>
      <sheetName val="9"/>
      <sheetName val="10"/>
    </sheetNames>
    <sheetDataSet>
      <sheetData sheetId="0">
        <row r="16">
          <cell r="K16">
            <v>423</v>
          </cell>
          <cell r="P16">
            <v>72</v>
          </cell>
        </row>
        <row r="17">
          <cell r="K17">
            <v>443</v>
          </cell>
          <cell r="P17">
            <v>76</v>
          </cell>
        </row>
        <row r="18">
          <cell r="K18">
            <v>166</v>
          </cell>
          <cell r="P18">
            <v>37</v>
          </cell>
        </row>
        <row r="19">
          <cell r="K19">
            <v>399</v>
          </cell>
          <cell r="P19">
            <v>43</v>
          </cell>
        </row>
        <row r="20">
          <cell r="K20">
            <v>95</v>
          </cell>
          <cell r="P20">
            <v>37</v>
          </cell>
        </row>
        <row r="21">
          <cell r="K21">
            <v>173</v>
          </cell>
          <cell r="P21">
            <v>7</v>
          </cell>
        </row>
        <row r="22">
          <cell r="K22">
            <v>464</v>
          </cell>
          <cell r="P22">
            <v>62</v>
          </cell>
        </row>
        <row r="23">
          <cell r="K23">
            <v>705</v>
          </cell>
          <cell r="P23">
            <v>34</v>
          </cell>
        </row>
        <row r="24">
          <cell r="K24">
            <v>267</v>
          </cell>
          <cell r="P24">
            <v>68</v>
          </cell>
        </row>
        <row r="25">
          <cell r="K25">
            <v>72</v>
          </cell>
          <cell r="P25">
            <v>75</v>
          </cell>
        </row>
        <row r="26">
          <cell r="K26">
            <v>585</v>
          </cell>
          <cell r="P26">
            <v>68</v>
          </cell>
        </row>
        <row r="27">
          <cell r="K27">
            <v>317</v>
          </cell>
          <cell r="P27">
            <v>29</v>
          </cell>
        </row>
        <row r="28">
          <cell r="K28">
            <v>68</v>
          </cell>
          <cell r="P28">
            <v>28</v>
          </cell>
        </row>
        <row r="29">
          <cell r="K29">
            <v>55</v>
          </cell>
          <cell r="P29">
            <v>14</v>
          </cell>
        </row>
        <row r="30">
          <cell r="K30">
            <v>68</v>
          </cell>
          <cell r="P30">
            <v>53</v>
          </cell>
        </row>
        <row r="31">
          <cell r="K31">
            <v>170</v>
          </cell>
          <cell r="P31">
            <v>53</v>
          </cell>
        </row>
        <row r="32">
          <cell r="K32">
            <v>325</v>
          </cell>
          <cell r="P32">
            <v>38</v>
          </cell>
        </row>
        <row r="33">
          <cell r="K33">
            <v>213</v>
          </cell>
          <cell r="P33">
            <v>61</v>
          </cell>
        </row>
        <row r="34">
          <cell r="K34">
            <v>626</v>
          </cell>
          <cell r="P34">
            <v>77</v>
          </cell>
        </row>
        <row r="35">
          <cell r="K35">
            <v>416</v>
          </cell>
          <cell r="P35">
            <v>58</v>
          </cell>
        </row>
        <row r="36">
          <cell r="K36">
            <v>320</v>
          </cell>
          <cell r="P36">
            <v>60</v>
          </cell>
        </row>
        <row r="37">
          <cell r="K37">
            <v>14</v>
          </cell>
          <cell r="P37">
            <v>31</v>
          </cell>
        </row>
        <row r="38">
          <cell r="K38">
            <v>436</v>
          </cell>
          <cell r="P38">
            <v>53</v>
          </cell>
        </row>
        <row r="39">
          <cell r="K39">
            <v>716</v>
          </cell>
          <cell r="P39">
            <v>80</v>
          </cell>
        </row>
        <row r="40">
          <cell r="K40">
            <v>698</v>
          </cell>
          <cell r="P40">
            <v>64</v>
          </cell>
        </row>
        <row r="41">
          <cell r="K41">
            <v>724</v>
          </cell>
          <cell r="P41">
            <v>49</v>
          </cell>
        </row>
        <row r="42">
          <cell r="K42">
            <v>352</v>
          </cell>
          <cell r="P42">
            <v>57</v>
          </cell>
        </row>
        <row r="43">
          <cell r="K43">
            <v>321</v>
          </cell>
          <cell r="P43">
            <v>72</v>
          </cell>
        </row>
        <row r="44">
          <cell r="K44">
            <v>469</v>
          </cell>
          <cell r="P44">
            <v>44</v>
          </cell>
        </row>
        <row r="45">
          <cell r="K45">
            <v>823</v>
          </cell>
          <cell r="P45">
            <v>115</v>
          </cell>
        </row>
        <row r="46">
          <cell r="K46">
            <v>159</v>
          </cell>
          <cell r="P46">
            <v>33</v>
          </cell>
        </row>
        <row r="47">
          <cell r="K47">
            <v>466</v>
          </cell>
          <cell r="P47">
            <v>32</v>
          </cell>
        </row>
        <row r="48">
          <cell r="K48">
            <v>74</v>
          </cell>
          <cell r="P48">
            <v>58</v>
          </cell>
        </row>
        <row r="49">
          <cell r="K49">
            <v>231</v>
          </cell>
          <cell r="P49">
            <v>37</v>
          </cell>
        </row>
        <row r="50">
          <cell r="K50">
            <v>473</v>
          </cell>
          <cell r="P50">
            <v>100</v>
          </cell>
        </row>
        <row r="51">
          <cell r="K51">
            <v>554</v>
          </cell>
          <cell r="P51">
            <v>28</v>
          </cell>
        </row>
        <row r="52">
          <cell r="K52">
            <v>42</v>
          </cell>
          <cell r="P52">
            <v>58</v>
          </cell>
        </row>
        <row r="53">
          <cell r="K53">
            <v>537</v>
          </cell>
          <cell r="P53">
            <v>67</v>
          </cell>
        </row>
        <row r="54">
          <cell r="K54">
            <v>832</v>
          </cell>
          <cell r="P54">
            <v>40</v>
          </cell>
        </row>
        <row r="55">
          <cell r="K55">
            <v>3286</v>
          </cell>
          <cell r="P55">
            <v>350</v>
          </cell>
        </row>
        <row r="56">
          <cell r="K56">
            <v>215</v>
          </cell>
          <cell r="P56">
            <v>28</v>
          </cell>
        </row>
        <row r="57">
          <cell r="K57">
            <v>112</v>
          </cell>
          <cell r="P57">
            <v>48</v>
          </cell>
        </row>
        <row r="58">
          <cell r="K58">
            <v>1453</v>
          </cell>
          <cell r="P58">
            <v>113</v>
          </cell>
        </row>
        <row r="59">
          <cell r="K59">
            <v>154</v>
          </cell>
          <cell r="P59">
            <v>35</v>
          </cell>
        </row>
        <row r="60">
          <cell r="K60">
            <v>912</v>
          </cell>
          <cell r="P60">
            <v>58</v>
          </cell>
        </row>
        <row r="61">
          <cell r="K61">
            <v>292</v>
          </cell>
          <cell r="P61">
            <v>43</v>
          </cell>
        </row>
        <row r="62">
          <cell r="K62">
            <v>345</v>
          </cell>
          <cell r="P62">
            <v>81</v>
          </cell>
        </row>
        <row r="63">
          <cell r="K63">
            <v>904</v>
          </cell>
          <cell r="P63">
            <v>165</v>
          </cell>
        </row>
        <row r="64">
          <cell r="K64">
            <v>1118</v>
          </cell>
          <cell r="P64">
            <v>48</v>
          </cell>
        </row>
        <row r="65">
          <cell r="K65">
            <v>273</v>
          </cell>
          <cell r="P65">
            <v>45</v>
          </cell>
        </row>
        <row r="66">
          <cell r="K66">
            <v>319</v>
          </cell>
          <cell r="P66">
            <v>36</v>
          </cell>
        </row>
        <row r="67">
          <cell r="K67">
            <v>516</v>
          </cell>
          <cell r="P67">
            <v>74</v>
          </cell>
        </row>
        <row r="68">
          <cell r="K68">
            <v>1210</v>
          </cell>
          <cell r="P68">
            <v>12</v>
          </cell>
        </row>
        <row r="69">
          <cell r="K69">
            <v>341</v>
          </cell>
          <cell r="P69">
            <v>81</v>
          </cell>
        </row>
        <row r="70">
          <cell r="K70">
            <v>2232</v>
          </cell>
          <cell r="P70">
            <v>163</v>
          </cell>
        </row>
        <row r="71">
          <cell r="K71">
            <v>688</v>
          </cell>
          <cell r="P71">
            <v>79</v>
          </cell>
        </row>
        <row r="72">
          <cell r="K72">
            <v>855</v>
          </cell>
          <cell r="P72">
            <v>38</v>
          </cell>
        </row>
        <row r="73">
          <cell r="K73">
            <v>263</v>
          </cell>
          <cell r="P73">
            <v>96</v>
          </cell>
        </row>
        <row r="74">
          <cell r="K74">
            <v>97</v>
          </cell>
          <cell r="P74">
            <v>22</v>
          </cell>
        </row>
        <row r="75">
          <cell r="K75">
            <v>353</v>
          </cell>
          <cell r="P75">
            <v>41</v>
          </cell>
        </row>
        <row r="76">
          <cell r="K76">
            <v>161</v>
          </cell>
          <cell r="P76">
            <v>29</v>
          </cell>
        </row>
        <row r="77">
          <cell r="K77">
            <v>337</v>
          </cell>
          <cell r="P77">
            <v>39</v>
          </cell>
        </row>
        <row r="78">
          <cell r="K78">
            <v>357</v>
          </cell>
          <cell r="P78">
            <v>27</v>
          </cell>
        </row>
      </sheetData>
      <sheetData sheetId="4">
        <row r="13">
          <cell r="G13">
            <v>7382</v>
          </cell>
          <cell r="J13">
            <v>123</v>
          </cell>
        </row>
        <row r="14">
          <cell r="G14">
            <v>2063</v>
          </cell>
          <cell r="J14">
            <v>177</v>
          </cell>
        </row>
        <row r="15">
          <cell r="G15">
            <v>4130</v>
          </cell>
          <cell r="J15">
            <v>71</v>
          </cell>
        </row>
        <row r="16">
          <cell r="G16">
            <v>765</v>
          </cell>
          <cell r="J16">
            <v>6</v>
          </cell>
        </row>
        <row r="17">
          <cell r="G17">
            <v>2445</v>
          </cell>
          <cell r="J17">
            <v>87</v>
          </cell>
        </row>
        <row r="18">
          <cell r="G18">
            <v>2514</v>
          </cell>
          <cell r="J18">
            <v>26</v>
          </cell>
        </row>
        <row r="19">
          <cell r="G19">
            <v>4189</v>
          </cell>
          <cell r="J19">
            <v>123</v>
          </cell>
        </row>
        <row r="20">
          <cell r="G20">
            <v>4527</v>
          </cell>
          <cell r="J20">
            <v>56</v>
          </cell>
        </row>
        <row r="21">
          <cell r="G21">
            <v>2325</v>
          </cell>
          <cell r="J21">
            <v>59</v>
          </cell>
        </row>
        <row r="22">
          <cell r="G22">
            <v>1907</v>
          </cell>
          <cell r="J22">
            <v>22</v>
          </cell>
        </row>
        <row r="23">
          <cell r="G23">
            <v>2338</v>
          </cell>
          <cell r="J23">
            <v>142</v>
          </cell>
        </row>
        <row r="24">
          <cell r="G24">
            <v>2889</v>
          </cell>
          <cell r="J24">
            <v>96</v>
          </cell>
        </row>
        <row r="25">
          <cell r="G25">
            <v>2680</v>
          </cell>
          <cell r="J25">
            <v>203</v>
          </cell>
        </row>
        <row r="26">
          <cell r="G26">
            <v>850</v>
          </cell>
          <cell r="J26">
            <v>3</v>
          </cell>
        </row>
        <row r="27">
          <cell r="G27">
            <v>2070</v>
          </cell>
          <cell r="J27">
            <v>100</v>
          </cell>
        </row>
        <row r="28">
          <cell r="G28">
            <v>4297</v>
          </cell>
          <cell r="J28">
            <v>41</v>
          </cell>
        </row>
        <row r="29">
          <cell r="G29">
            <v>708</v>
          </cell>
          <cell r="J29">
            <v>12</v>
          </cell>
        </row>
        <row r="30">
          <cell r="G30">
            <v>941</v>
          </cell>
          <cell r="J30">
            <v>1</v>
          </cell>
        </row>
        <row r="31">
          <cell r="J31">
            <v>382</v>
          </cell>
        </row>
        <row r="32">
          <cell r="G32">
            <v>4399</v>
          </cell>
          <cell r="J32">
            <v>121</v>
          </cell>
        </row>
        <row r="33">
          <cell r="G33">
            <v>2125</v>
          </cell>
          <cell r="J33">
            <v>19</v>
          </cell>
        </row>
        <row r="34">
          <cell r="G34">
            <v>813</v>
          </cell>
          <cell r="J34">
            <v>3</v>
          </cell>
        </row>
        <row r="35">
          <cell r="J35">
            <v>17</v>
          </cell>
        </row>
        <row r="36">
          <cell r="G36">
            <v>17949</v>
          </cell>
          <cell r="J36">
            <v>286</v>
          </cell>
        </row>
        <row r="37">
          <cell r="G37">
            <v>4804</v>
          </cell>
          <cell r="J37">
            <v>28</v>
          </cell>
        </row>
        <row r="38">
          <cell r="G38">
            <v>5565</v>
          </cell>
          <cell r="J38">
            <v>97</v>
          </cell>
        </row>
        <row r="39">
          <cell r="G39">
            <v>5581</v>
          </cell>
          <cell r="J39">
            <v>237</v>
          </cell>
        </row>
        <row r="40">
          <cell r="G40">
            <v>1899</v>
          </cell>
          <cell r="J40">
            <v>111</v>
          </cell>
        </row>
        <row r="41">
          <cell r="G41">
            <v>2337</v>
          </cell>
          <cell r="J41">
            <v>3</v>
          </cell>
        </row>
        <row r="42">
          <cell r="G42">
            <v>3531</v>
          </cell>
          <cell r="J42">
            <v>16</v>
          </cell>
        </row>
        <row r="43">
          <cell r="G43">
            <v>3396</v>
          </cell>
          <cell r="J43">
            <v>214</v>
          </cell>
        </row>
        <row r="44">
          <cell r="G44">
            <v>3721</v>
          </cell>
          <cell r="J44">
            <v>161</v>
          </cell>
        </row>
        <row r="45">
          <cell r="G45">
            <v>889</v>
          </cell>
          <cell r="J45">
            <v>5</v>
          </cell>
        </row>
        <row r="46">
          <cell r="G46">
            <v>477</v>
          </cell>
        </row>
        <row r="47">
          <cell r="J47">
            <v>90</v>
          </cell>
        </row>
        <row r="48">
          <cell r="G48">
            <v>2049</v>
          </cell>
          <cell r="J48">
            <v>7</v>
          </cell>
        </row>
        <row r="49">
          <cell r="G49">
            <v>1011</v>
          </cell>
          <cell r="J49">
            <v>8</v>
          </cell>
        </row>
        <row r="50">
          <cell r="G50">
            <v>3936</v>
          </cell>
          <cell r="J50">
            <v>87</v>
          </cell>
        </row>
        <row r="51">
          <cell r="G51">
            <v>4014</v>
          </cell>
          <cell r="J51">
            <v>35</v>
          </cell>
        </row>
        <row r="52">
          <cell r="G52">
            <v>18420</v>
          </cell>
          <cell r="J52">
            <v>61</v>
          </cell>
        </row>
        <row r="53">
          <cell r="G53">
            <v>2816</v>
          </cell>
          <cell r="J53">
            <v>19</v>
          </cell>
        </row>
        <row r="54">
          <cell r="G54">
            <v>1412</v>
          </cell>
          <cell r="J54">
            <v>43</v>
          </cell>
        </row>
        <row r="55">
          <cell r="G55">
            <v>3972</v>
          </cell>
          <cell r="J55">
            <v>38</v>
          </cell>
        </row>
        <row r="56">
          <cell r="G56">
            <v>2105</v>
          </cell>
          <cell r="J56">
            <v>63</v>
          </cell>
        </row>
        <row r="57">
          <cell r="G57">
            <v>2909</v>
          </cell>
          <cell r="J57">
            <v>15</v>
          </cell>
        </row>
        <row r="58">
          <cell r="G58">
            <v>4344</v>
          </cell>
          <cell r="J58">
            <v>38</v>
          </cell>
        </row>
        <row r="59">
          <cell r="G59">
            <v>2014</v>
          </cell>
          <cell r="J59">
            <v>30</v>
          </cell>
        </row>
        <row r="60">
          <cell r="G60">
            <v>2606</v>
          </cell>
          <cell r="J60">
            <v>98</v>
          </cell>
        </row>
        <row r="61">
          <cell r="G61">
            <v>1654</v>
          </cell>
          <cell r="J61">
            <v>19</v>
          </cell>
        </row>
        <row r="62">
          <cell r="G62">
            <v>4080</v>
          </cell>
          <cell r="J62">
            <v>100</v>
          </cell>
        </row>
        <row r="63">
          <cell r="G63">
            <v>1916</v>
          </cell>
          <cell r="J63">
            <v>2</v>
          </cell>
        </row>
        <row r="64">
          <cell r="G64">
            <v>3141</v>
          </cell>
          <cell r="J64">
            <v>147</v>
          </cell>
        </row>
        <row r="65">
          <cell r="G65">
            <v>5947</v>
          </cell>
          <cell r="J65">
            <v>49</v>
          </cell>
        </row>
        <row r="66">
          <cell r="G66">
            <v>2769</v>
          </cell>
          <cell r="J66">
            <v>22</v>
          </cell>
        </row>
        <row r="67">
          <cell r="G67">
            <v>10832</v>
          </cell>
          <cell r="J67">
            <v>34</v>
          </cell>
        </row>
        <row r="68">
          <cell r="G68">
            <v>3700</v>
          </cell>
          <cell r="J68">
            <v>219</v>
          </cell>
        </row>
        <row r="69">
          <cell r="G69">
            <v>4381</v>
          </cell>
          <cell r="J69">
            <v>182</v>
          </cell>
        </row>
        <row r="70">
          <cell r="G70">
            <v>14478</v>
          </cell>
          <cell r="J70">
            <v>1302</v>
          </cell>
        </row>
        <row r="71">
          <cell r="G71">
            <v>2791</v>
          </cell>
          <cell r="J71">
            <v>122</v>
          </cell>
        </row>
        <row r="72">
          <cell r="G72">
            <v>2137</v>
          </cell>
          <cell r="J72">
            <v>8</v>
          </cell>
        </row>
        <row r="73">
          <cell r="G73">
            <v>2181</v>
          </cell>
          <cell r="J73">
            <v>186</v>
          </cell>
        </row>
        <row r="74">
          <cell r="G74">
            <v>2383</v>
          </cell>
          <cell r="J74">
            <v>20</v>
          </cell>
        </row>
        <row r="75">
          <cell r="G75">
            <v>1461</v>
          </cell>
          <cell r="J75">
            <v>11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
      <sheetName val="2A"/>
      <sheetName val="2B"/>
      <sheetName val="3"/>
      <sheetName val="4"/>
      <sheetName val="5"/>
      <sheetName val="6"/>
      <sheetName val="7"/>
      <sheetName val=" 8"/>
      <sheetName val="9"/>
      <sheetName val="10"/>
    </sheetNames>
    <sheetDataSet>
      <sheetData sheetId="4">
        <row r="15">
          <cell r="J15">
            <v>123</v>
          </cell>
          <cell r="N15">
            <v>54</v>
          </cell>
        </row>
        <row r="16">
          <cell r="J16">
            <v>326</v>
          </cell>
          <cell r="N16">
            <v>21</v>
          </cell>
        </row>
        <row r="17">
          <cell r="J17">
            <v>104</v>
          </cell>
          <cell r="N17">
            <v>52</v>
          </cell>
        </row>
        <row r="18">
          <cell r="J18">
            <v>6</v>
          </cell>
          <cell r="N18">
            <v>19</v>
          </cell>
        </row>
        <row r="19">
          <cell r="J19">
            <v>189</v>
          </cell>
          <cell r="N19">
            <v>8</v>
          </cell>
        </row>
        <row r="20">
          <cell r="J20">
            <v>57</v>
          </cell>
          <cell r="N20">
            <v>36</v>
          </cell>
        </row>
        <row r="21">
          <cell r="J21">
            <v>246</v>
          </cell>
          <cell r="N21">
            <v>26</v>
          </cell>
        </row>
        <row r="22">
          <cell r="J22">
            <v>87</v>
          </cell>
          <cell r="N22">
            <v>22</v>
          </cell>
        </row>
        <row r="23">
          <cell r="J23">
            <v>179</v>
          </cell>
          <cell r="N23">
            <v>24</v>
          </cell>
        </row>
        <row r="24">
          <cell r="J24">
            <v>79</v>
          </cell>
          <cell r="N24">
            <v>11</v>
          </cell>
        </row>
        <row r="25">
          <cell r="J25">
            <v>256</v>
          </cell>
          <cell r="N25">
            <v>21</v>
          </cell>
        </row>
        <row r="26">
          <cell r="J26">
            <v>146</v>
          </cell>
          <cell r="N26">
            <v>20</v>
          </cell>
        </row>
        <row r="27">
          <cell r="J27">
            <v>448</v>
          </cell>
          <cell r="N27">
            <v>131</v>
          </cell>
        </row>
        <row r="28">
          <cell r="J28">
            <v>5</v>
          </cell>
          <cell r="N28">
            <v>4</v>
          </cell>
        </row>
        <row r="29">
          <cell r="J29">
            <v>188</v>
          </cell>
          <cell r="N29">
            <v>27</v>
          </cell>
        </row>
        <row r="30">
          <cell r="J30">
            <v>85</v>
          </cell>
          <cell r="N30">
            <v>18</v>
          </cell>
        </row>
        <row r="31">
          <cell r="J31">
            <v>21</v>
          </cell>
          <cell r="N31">
            <v>17</v>
          </cell>
        </row>
        <row r="32">
          <cell r="J32">
            <v>2</v>
          </cell>
          <cell r="N32">
            <v>63</v>
          </cell>
        </row>
        <row r="33">
          <cell r="J33">
            <v>751</v>
          </cell>
          <cell r="N33">
            <v>64</v>
          </cell>
        </row>
        <row r="34">
          <cell r="J34">
            <v>286</v>
          </cell>
          <cell r="N34">
            <v>50</v>
          </cell>
        </row>
        <row r="35">
          <cell r="J35">
            <v>38</v>
          </cell>
          <cell r="N35">
            <v>12</v>
          </cell>
        </row>
        <row r="36">
          <cell r="J36">
            <v>5</v>
          </cell>
          <cell r="N36">
            <v>494</v>
          </cell>
        </row>
        <row r="37">
          <cell r="J37">
            <v>32</v>
          </cell>
          <cell r="N37">
            <v>8</v>
          </cell>
        </row>
        <row r="38">
          <cell r="J38">
            <v>514</v>
          </cell>
          <cell r="N38">
            <v>67</v>
          </cell>
        </row>
        <row r="39">
          <cell r="J39">
            <v>52</v>
          </cell>
          <cell r="N39">
            <v>47</v>
          </cell>
        </row>
        <row r="40">
          <cell r="J40">
            <v>179</v>
          </cell>
          <cell r="N40">
            <v>32</v>
          </cell>
        </row>
        <row r="41">
          <cell r="J41">
            <v>514</v>
          </cell>
          <cell r="N41">
            <v>78</v>
          </cell>
        </row>
        <row r="42">
          <cell r="J42">
            <v>270</v>
          </cell>
          <cell r="N42">
            <v>20</v>
          </cell>
        </row>
        <row r="43">
          <cell r="J43">
            <v>8</v>
          </cell>
          <cell r="N43">
            <v>24</v>
          </cell>
        </row>
        <row r="44">
          <cell r="J44">
            <v>49</v>
          </cell>
          <cell r="N44">
            <v>26</v>
          </cell>
        </row>
        <row r="45">
          <cell r="J45">
            <v>387</v>
          </cell>
          <cell r="N45">
            <v>34</v>
          </cell>
        </row>
        <row r="46">
          <cell r="J46">
            <v>307</v>
          </cell>
          <cell r="N46">
            <v>43</v>
          </cell>
        </row>
        <row r="47">
          <cell r="J47">
            <v>13</v>
          </cell>
          <cell r="N47">
            <v>12</v>
          </cell>
        </row>
        <row r="48">
          <cell r="J48">
            <v>3</v>
          </cell>
          <cell r="N48">
            <v>44</v>
          </cell>
        </row>
        <row r="49">
          <cell r="J49">
            <v>159</v>
          </cell>
          <cell r="N49">
            <v>37</v>
          </cell>
        </row>
        <row r="50">
          <cell r="J50">
            <v>14</v>
          </cell>
          <cell r="N50">
            <v>35</v>
          </cell>
        </row>
        <row r="51">
          <cell r="J51">
            <v>11</v>
          </cell>
          <cell r="N51">
            <v>24</v>
          </cell>
        </row>
        <row r="52">
          <cell r="J52">
            <v>172</v>
          </cell>
          <cell r="N52">
            <v>36</v>
          </cell>
        </row>
        <row r="53">
          <cell r="J53">
            <v>60</v>
          </cell>
          <cell r="N53">
            <v>32</v>
          </cell>
        </row>
        <row r="54">
          <cell r="J54">
            <v>117</v>
          </cell>
          <cell r="N54">
            <v>130</v>
          </cell>
        </row>
        <row r="55">
          <cell r="J55">
            <v>35</v>
          </cell>
          <cell r="N55">
            <v>30</v>
          </cell>
        </row>
        <row r="56">
          <cell r="J56">
            <v>69</v>
          </cell>
          <cell r="N56">
            <v>8</v>
          </cell>
        </row>
        <row r="57">
          <cell r="J57">
            <v>81</v>
          </cell>
          <cell r="N57">
            <v>35</v>
          </cell>
        </row>
        <row r="58">
          <cell r="J58">
            <v>113</v>
          </cell>
          <cell r="N58">
            <v>20</v>
          </cell>
        </row>
        <row r="59">
          <cell r="J59">
            <v>28</v>
          </cell>
          <cell r="N59">
            <v>13</v>
          </cell>
        </row>
        <row r="60">
          <cell r="J60">
            <v>82</v>
          </cell>
          <cell r="N60">
            <v>29</v>
          </cell>
        </row>
        <row r="61">
          <cell r="J61">
            <v>67</v>
          </cell>
          <cell r="N61">
            <v>11</v>
          </cell>
        </row>
        <row r="62">
          <cell r="J62">
            <v>129</v>
          </cell>
          <cell r="N62">
            <v>75</v>
          </cell>
        </row>
        <row r="63">
          <cell r="J63">
            <v>30</v>
          </cell>
          <cell r="N63">
            <v>14</v>
          </cell>
        </row>
        <row r="64">
          <cell r="J64">
            <v>179</v>
          </cell>
          <cell r="N64">
            <v>64</v>
          </cell>
        </row>
        <row r="65">
          <cell r="J65">
            <v>3</v>
          </cell>
          <cell r="N65">
            <v>74</v>
          </cell>
        </row>
        <row r="66">
          <cell r="J66">
            <v>296</v>
          </cell>
          <cell r="N66">
            <v>19</v>
          </cell>
        </row>
        <row r="67">
          <cell r="J67">
            <v>109</v>
          </cell>
          <cell r="N67">
            <v>38</v>
          </cell>
        </row>
        <row r="68">
          <cell r="J68">
            <v>69</v>
          </cell>
          <cell r="N68">
            <v>39</v>
          </cell>
        </row>
        <row r="69">
          <cell r="J69">
            <v>84</v>
          </cell>
          <cell r="N69">
            <v>110</v>
          </cell>
        </row>
        <row r="70">
          <cell r="J70">
            <v>380</v>
          </cell>
          <cell r="N70">
            <v>13</v>
          </cell>
        </row>
        <row r="71">
          <cell r="J71">
            <v>374</v>
          </cell>
          <cell r="N71">
            <v>43</v>
          </cell>
        </row>
        <row r="72">
          <cell r="J72">
            <v>3269</v>
          </cell>
          <cell r="N72">
            <v>283</v>
          </cell>
        </row>
        <row r="73">
          <cell r="J73">
            <v>247</v>
          </cell>
          <cell r="N73">
            <v>34</v>
          </cell>
        </row>
        <row r="74">
          <cell r="J74">
            <v>25</v>
          </cell>
          <cell r="N74">
            <v>34</v>
          </cell>
        </row>
        <row r="75">
          <cell r="J75">
            <v>369</v>
          </cell>
          <cell r="N75">
            <v>24</v>
          </cell>
        </row>
        <row r="76">
          <cell r="J76">
            <v>37</v>
          </cell>
          <cell r="N76">
            <v>36</v>
          </cell>
        </row>
        <row r="77">
          <cell r="J77">
            <v>14</v>
          </cell>
          <cell r="N77">
            <v>45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9" tint="-0.24997000396251678"/>
  </sheetPr>
  <dimension ref="A1:AA117"/>
  <sheetViews>
    <sheetView zoomScalePageLayoutView="0" workbookViewId="0" topLeftCell="E1">
      <pane ySplit="6630" topLeftCell="A23" activePane="bottomLeft" state="split"/>
      <selection pane="topLeft" activeCell="A1" sqref="A1"/>
      <selection pane="bottomLeft" activeCell="C106" sqref="C106"/>
    </sheetView>
  </sheetViews>
  <sheetFormatPr defaultColWidth="9.140625" defaultRowHeight="12.75"/>
  <cols>
    <col min="1" max="1" width="4.421875" style="12" customWidth="1"/>
    <col min="2" max="2" width="37.140625" style="199" customWidth="1"/>
    <col min="3" max="6" width="11.57421875" style="12" customWidth="1"/>
    <col min="7" max="8" width="13.8515625" style="12" customWidth="1"/>
    <col min="9" max="11" width="11.57421875" style="12" customWidth="1"/>
    <col min="12" max="12" width="10.8515625" style="197" hidden="1" customWidth="1"/>
    <col min="13" max="13" width="10.8515625" style="12" hidden="1" customWidth="1"/>
    <col min="14" max="14" width="10.8515625" style="196" customWidth="1"/>
    <col min="15" max="15" width="11.57421875" style="196" customWidth="1"/>
    <col min="16" max="16" width="11.57421875" style="198" hidden="1" customWidth="1"/>
    <col min="17" max="17" width="11.57421875" style="196" customWidth="1"/>
    <col min="18" max="20" width="11.57421875" style="12" customWidth="1"/>
    <col min="21" max="21" width="41.28125" style="4" customWidth="1"/>
    <col min="22" max="16384" width="9.140625" style="4" customWidth="1"/>
  </cols>
  <sheetData>
    <row r="1" spans="1:20" ht="19.5" customHeight="1">
      <c r="A1" s="1" t="s">
        <v>318</v>
      </c>
      <c r="B1" s="1"/>
      <c r="C1" s="2"/>
      <c r="D1" s="2"/>
      <c r="E1" s="2"/>
      <c r="F1" s="2"/>
      <c r="G1" s="2"/>
      <c r="H1" s="161"/>
      <c r="I1" s="161"/>
      <c r="J1" s="161"/>
      <c r="K1" s="161"/>
      <c r="L1" s="162"/>
      <c r="M1" s="161"/>
      <c r="N1" s="3"/>
      <c r="O1" s="3"/>
      <c r="P1" s="3"/>
      <c r="Q1" s="3"/>
      <c r="R1" s="161"/>
      <c r="S1" s="161"/>
      <c r="T1" s="161"/>
    </row>
    <row r="2" spans="1:20" ht="23.25" customHeight="1">
      <c r="A2" s="810" t="s">
        <v>506</v>
      </c>
      <c r="B2" s="810"/>
      <c r="C2" s="810"/>
      <c r="D2" s="810"/>
      <c r="E2" s="810"/>
      <c r="F2" s="810"/>
      <c r="G2" s="810"/>
      <c r="H2" s="810"/>
      <c r="I2" s="810"/>
      <c r="J2" s="810"/>
      <c r="K2" s="810"/>
      <c r="L2" s="810"/>
      <c r="M2" s="810"/>
      <c r="N2" s="810"/>
      <c r="O2" s="810"/>
      <c r="P2" s="810"/>
      <c r="Q2" s="810"/>
      <c r="R2" s="810"/>
      <c r="S2" s="810"/>
      <c r="T2" s="810"/>
    </row>
    <row r="3" spans="1:20" ht="24" customHeight="1">
      <c r="A3" s="811" t="s">
        <v>507</v>
      </c>
      <c r="B3" s="811"/>
      <c r="C3" s="811"/>
      <c r="D3" s="811"/>
      <c r="E3" s="811"/>
      <c r="F3" s="811"/>
      <c r="G3" s="811"/>
      <c r="H3" s="811"/>
      <c r="I3" s="811"/>
      <c r="J3" s="811"/>
      <c r="K3" s="811"/>
      <c r="L3" s="811"/>
      <c r="M3" s="811"/>
      <c r="N3" s="811"/>
      <c r="O3" s="811"/>
      <c r="P3" s="811"/>
      <c r="Q3" s="811"/>
      <c r="R3" s="811"/>
      <c r="S3" s="811"/>
      <c r="T3" s="811"/>
    </row>
    <row r="4" spans="1:20" ht="24" customHeight="1">
      <c r="A4" s="810" t="s">
        <v>319</v>
      </c>
      <c r="B4" s="812"/>
      <c r="C4" s="812"/>
      <c r="D4" s="812"/>
      <c r="E4" s="812"/>
      <c r="F4" s="812"/>
      <c r="G4" s="812"/>
      <c r="H4" s="812"/>
      <c r="I4" s="812"/>
      <c r="J4" s="812"/>
      <c r="K4" s="812"/>
      <c r="L4" s="812"/>
      <c r="M4" s="812"/>
      <c r="N4" s="812"/>
      <c r="O4" s="812"/>
      <c r="P4" s="812"/>
      <c r="Q4" s="812"/>
      <c r="R4" s="812"/>
      <c r="S4" s="812"/>
      <c r="T4" s="812"/>
    </row>
    <row r="5" spans="1:20" ht="48.75" customHeight="1">
      <c r="A5" s="5"/>
      <c r="B5" s="6"/>
      <c r="C5" s="6"/>
      <c r="D5" s="6"/>
      <c r="E5" s="6"/>
      <c r="F5" s="6"/>
      <c r="G5" s="6"/>
      <c r="H5" s="163"/>
      <c r="I5" s="163"/>
      <c r="J5" s="163"/>
      <c r="K5" s="164"/>
      <c r="L5" s="165"/>
      <c r="M5" s="164"/>
      <c r="N5" s="7"/>
      <c r="O5" s="7"/>
      <c r="P5" s="7"/>
      <c r="Q5" s="7"/>
      <c r="R5" s="5"/>
      <c r="S5" s="5"/>
      <c r="T5" s="163"/>
    </row>
    <row r="6" spans="1:21" ht="40.5" customHeight="1">
      <c r="A6" s="813"/>
      <c r="B6" s="813"/>
      <c r="C6" s="814" t="s">
        <v>508</v>
      </c>
      <c r="D6" s="814"/>
      <c r="E6" s="814"/>
      <c r="F6" s="814"/>
      <c r="G6" s="814"/>
      <c r="H6" s="814"/>
      <c r="I6" s="814"/>
      <c r="J6" s="814"/>
      <c r="K6" s="814"/>
      <c r="L6" s="815" t="s">
        <v>509</v>
      </c>
      <c r="M6" s="816"/>
      <c r="N6" s="814" t="s">
        <v>510</v>
      </c>
      <c r="O6" s="814"/>
      <c r="P6" s="814"/>
      <c r="Q6" s="814"/>
      <c r="R6" s="814"/>
      <c r="S6" s="814"/>
      <c r="T6" s="814"/>
      <c r="U6" s="166"/>
    </row>
    <row r="7" spans="1:21" ht="25.5" customHeight="1">
      <c r="A7" s="813"/>
      <c r="B7" s="813"/>
      <c r="C7" s="817" t="s">
        <v>511</v>
      </c>
      <c r="D7" s="817" t="s">
        <v>512</v>
      </c>
      <c r="E7" s="818" t="s">
        <v>320</v>
      </c>
      <c r="F7" s="818"/>
      <c r="G7" s="818"/>
      <c r="H7" s="818"/>
      <c r="I7" s="818"/>
      <c r="J7" s="818"/>
      <c r="K7" s="818"/>
      <c r="L7" s="822" t="s">
        <v>513</v>
      </c>
      <c r="M7" s="825" t="s">
        <v>514</v>
      </c>
      <c r="N7" s="817" t="s">
        <v>511</v>
      </c>
      <c r="O7" s="817" t="s">
        <v>512</v>
      </c>
      <c r="P7" s="819" t="s">
        <v>515</v>
      </c>
      <c r="Q7" s="817" t="s">
        <v>320</v>
      </c>
      <c r="R7" s="817"/>
      <c r="S7" s="817"/>
      <c r="T7" s="817"/>
      <c r="U7" s="166"/>
    </row>
    <row r="8" spans="1:21" ht="22.5" customHeight="1">
      <c r="A8" s="813"/>
      <c r="B8" s="813"/>
      <c r="C8" s="817"/>
      <c r="D8" s="817"/>
      <c r="E8" s="817" t="s">
        <v>322</v>
      </c>
      <c r="F8" s="831" t="s">
        <v>516</v>
      </c>
      <c r="G8" s="831"/>
      <c r="H8" s="831"/>
      <c r="I8" s="831"/>
      <c r="J8" s="831"/>
      <c r="K8" s="831"/>
      <c r="L8" s="823"/>
      <c r="M8" s="826"/>
      <c r="N8" s="817"/>
      <c r="O8" s="817"/>
      <c r="P8" s="820"/>
      <c r="Q8" s="817" t="s">
        <v>322</v>
      </c>
      <c r="R8" s="168" t="s">
        <v>517</v>
      </c>
      <c r="S8" s="168"/>
      <c r="T8" s="168"/>
      <c r="U8" s="166"/>
    </row>
    <row r="9" spans="1:21" ht="31.5" customHeight="1">
      <c r="A9" s="813"/>
      <c r="B9" s="813"/>
      <c r="C9" s="817"/>
      <c r="D9" s="817"/>
      <c r="E9" s="817"/>
      <c r="F9" s="817" t="s">
        <v>518</v>
      </c>
      <c r="G9" s="817" t="s">
        <v>519</v>
      </c>
      <c r="H9" s="825" t="s">
        <v>520</v>
      </c>
      <c r="I9" s="817" t="s">
        <v>521</v>
      </c>
      <c r="J9" s="817" t="s">
        <v>522</v>
      </c>
      <c r="K9" s="817" t="s">
        <v>523</v>
      </c>
      <c r="L9" s="823"/>
      <c r="M9" s="826"/>
      <c r="N9" s="817"/>
      <c r="O9" s="817"/>
      <c r="P9" s="820"/>
      <c r="Q9" s="817"/>
      <c r="R9" s="817" t="s">
        <v>524</v>
      </c>
      <c r="S9" s="817" t="s">
        <v>525</v>
      </c>
      <c r="T9" s="817" t="s">
        <v>526</v>
      </c>
      <c r="U9" s="166"/>
    </row>
    <row r="10" spans="1:21" ht="16.5" customHeight="1">
      <c r="A10" s="813"/>
      <c r="B10" s="813"/>
      <c r="C10" s="817"/>
      <c r="D10" s="817"/>
      <c r="E10" s="817"/>
      <c r="F10" s="817"/>
      <c r="G10" s="817"/>
      <c r="H10" s="826"/>
      <c r="I10" s="817"/>
      <c r="J10" s="817"/>
      <c r="K10" s="817"/>
      <c r="L10" s="823"/>
      <c r="M10" s="826"/>
      <c r="N10" s="817"/>
      <c r="O10" s="817"/>
      <c r="P10" s="820"/>
      <c r="Q10" s="817"/>
      <c r="R10" s="817"/>
      <c r="S10" s="817"/>
      <c r="T10" s="817"/>
      <c r="U10" s="166"/>
    </row>
    <row r="11" spans="1:21" ht="26.25" customHeight="1">
      <c r="A11" s="813"/>
      <c r="B11" s="813"/>
      <c r="C11" s="817"/>
      <c r="D11" s="817"/>
      <c r="E11" s="817"/>
      <c r="F11" s="817"/>
      <c r="G11" s="817"/>
      <c r="H11" s="827"/>
      <c r="I11" s="817"/>
      <c r="J11" s="817"/>
      <c r="K11" s="817"/>
      <c r="L11" s="824"/>
      <c r="M11" s="827"/>
      <c r="N11" s="817"/>
      <c r="O11" s="817"/>
      <c r="P11" s="821"/>
      <c r="Q11" s="817"/>
      <c r="R11" s="817"/>
      <c r="S11" s="817"/>
      <c r="T11" s="817"/>
      <c r="U11" s="166"/>
    </row>
    <row r="12" spans="1:21" ht="16.5">
      <c r="A12" s="817" t="s">
        <v>323</v>
      </c>
      <c r="B12" s="817"/>
      <c r="C12" s="169">
        <v>1</v>
      </c>
      <c r="D12" s="169">
        <v>2</v>
      </c>
      <c r="E12" s="169">
        <v>3</v>
      </c>
      <c r="F12" s="169">
        <v>4</v>
      </c>
      <c r="G12" s="169">
        <v>5</v>
      </c>
      <c r="H12" s="169">
        <v>6</v>
      </c>
      <c r="I12" s="169">
        <v>7</v>
      </c>
      <c r="J12" s="169">
        <v>8</v>
      </c>
      <c r="K12" s="169">
        <v>9</v>
      </c>
      <c r="L12" s="170"/>
      <c r="M12" s="169"/>
      <c r="N12" s="169">
        <v>10</v>
      </c>
      <c r="O12" s="169">
        <v>11</v>
      </c>
      <c r="P12" s="169"/>
      <c r="Q12" s="169">
        <v>12</v>
      </c>
      <c r="R12" s="169">
        <v>13</v>
      </c>
      <c r="S12" s="169">
        <v>14</v>
      </c>
      <c r="T12" s="169">
        <v>15</v>
      </c>
      <c r="U12" s="166"/>
    </row>
    <row r="13" spans="1:21" ht="26.25" customHeight="1">
      <c r="A13" s="828" t="s">
        <v>324</v>
      </c>
      <c r="B13" s="828"/>
      <c r="C13" s="171">
        <f aca="true" t="shared" si="0" ref="C13:K13">C14+C35</f>
        <v>684</v>
      </c>
      <c r="D13" s="171">
        <f t="shared" si="0"/>
        <v>227</v>
      </c>
      <c r="E13" s="171">
        <f t="shared" si="0"/>
        <v>457</v>
      </c>
      <c r="F13" s="171">
        <f t="shared" si="0"/>
        <v>9</v>
      </c>
      <c r="G13" s="171">
        <f t="shared" si="0"/>
        <v>3</v>
      </c>
      <c r="H13" s="171">
        <f t="shared" si="0"/>
        <v>0</v>
      </c>
      <c r="I13" s="171">
        <f t="shared" si="0"/>
        <v>48</v>
      </c>
      <c r="J13" s="171">
        <f t="shared" si="0"/>
        <v>35</v>
      </c>
      <c r="K13" s="171">
        <f t="shared" si="0"/>
        <v>362</v>
      </c>
      <c r="L13" s="172"/>
      <c r="M13" s="171"/>
      <c r="N13" s="171">
        <f>N41</f>
        <v>43177</v>
      </c>
      <c r="O13" s="171">
        <f>O41</f>
        <v>13906</v>
      </c>
      <c r="P13" s="173"/>
      <c r="Q13" s="171">
        <f>Q41</f>
        <v>29271</v>
      </c>
      <c r="R13" s="171">
        <f>R41</f>
        <v>967</v>
      </c>
      <c r="S13" s="171">
        <f>S41</f>
        <v>3379</v>
      </c>
      <c r="T13" s="171">
        <f>T41</f>
        <v>24925</v>
      </c>
      <c r="U13" s="166"/>
    </row>
    <row r="14" spans="1:21" ht="32.25" customHeight="1">
      <c r="A14" s="828" t="s">
        <v>325</v>
      </c>
      <c r="B14" s="828"/>
      <c r="C14" s="174">
        <f aca="true" t="shared" si="1" ref="C14:K14">SUM(C15:C34)</f>
        <v>646.5</v>
      </c>
      <c r="D14" s="174">
        <f t="shared" si="1"/>
        <v>214.5</v>
      </c>
      <c r="E14" s="174">
        <f t="shared" si="1"/>
        <v>432</v>
      </c>
      <c r="F14" s="174">
        <f t="shared" si="1"/>
        <v>6</v>
      </c>
      <c r="G14" s="174">
        <f t="shared" si="1"/>
        <v>0</v>
      </c>
      <c r="H14" s="174">
        <f t="shared" si="1"/>
        <v>0</v>
      </c>
      <c r="I14" s="174">
        <f t="shared" si="1"/>
        <v>47</v>
      </c>
      <c r="J14" s="174">
        <f t="shared" si="1"/>
        <v>33</v>
      </c>
      <c r="K14" s="174">
        <f t="shared" si="1"/>
        <v>346</v>
      </c>
      <c r="L14" s="175"/>
      <c r="M14" s="174"/>
      <c r="N14" s="176" t="s">
        <v>527</v>
      </c>
      <c r="O14" s="176" t="s">
        <v>527</v>
      </c>
      <c r="P14" s="176"/>
      <c r="Q14" s="176" t="s">
        <v>527</v>
      </c>
      <c r="R14" s="176" t="s">
        <v>527</v>
      </c>
      <c r="S14" s="176" t="s">
        <v>527</v>
      </c>
      <c r="T14" s="176" t="s">
        <v>527</v>
      </c>
      <c r="U14" s="166"/>
    </row>
    <row r="15" spans="1:21" s="181" customFormat="1" ht="18.75">
      <c r="A15" s="639">
        <v>1</v>
      </c>
      <c r="B15" s="110" t="s">
        <v>479</v>
      </c>
      <c r="C15" s="174">
        <f>D15+E15</f>
        <v>75</v>
      </c>
      <c r="D15" s="721">
        <f>E15/4*2</f>
        <v>25</v>
      </c>
      <c r="E15" s="174">
        <f>SUM(F15:K15)</f>
        <v>50</v>
      </c>
      <c r="F15" s="177">
        <v>1</v>
      </c>
      <c r="G15" s="177">
        <v>0</v>
      </c>
      <c r="H15" s="177">
        <v>0</v>
      </c>
      <c r="I15" s="177">
        <v>8</v>
      </c>
      <c r="J15" s="177">
        <v>4</v>
      </c>
      <c r="K15" s="177">
        <v>37</v>
      </c>
      <c r="L15" s="178"/>
      <c r="M15" s="177"/>
      <c r="N15" s="179" t="s">
        <v>527</v>
      </c>
      <c r="O15" s="179" t="s">
        <v>527</v>
      </c>
      <c r="P15" s="179"/>
      <c r="Q15" s="179" t="s">
        <v>527</v>
      </c>
      <c r="R15" s="179" t="s">
        <v>527</v>
      </c>
      <c r="S15" s="179" t="s">
        <v>527</v>
      </c>
      <c r="T15" s="179" t="s">
        <v>527</v>
      </c>
      <c r="U15" s="180"/>
    </row>
    <row r="16" spans="1:21" s="181" customFormat="1" ht="16.5">
      <c r="A16" s="639">
        <v>2</v>
      </c>
      <c r="B16" s="111" t="s">
        <v>480</v>
      </c>
      <c r="C16" s="174">
        <f>D16+E16</f>
        <v>18</v>
      </c>
      <c r="D16" s="177">
        <v>5</v>
      </c>
      <c r="E16" s="174">
        <f>SUM(F16:K16)</f>
        <v>13</v>
      </c>
      <c r="F16" s="177"/>
      <c r="G16" s="177"/>
      <c r="H16" s="177"/>
      <c r="I16" s="177"/>
      <c r="J16" s="177"/>
      <c r="K16" s="177">
        <v>13</v>
      </c>
      <c r="L16" s="178"/>
      <c r="M16" s="177"/>
      <c r="N16" s="179" t="s">
        <v>527</v>
      </c>
      <c r="O16" s="179" t="s">
        <v>527</v>
      </c>
      <c r="P16" s="179"/>
      <c r="Q16" s="179" t="s">
        <v>527</v>
      </c>
      <c r="R16" s="179" t="s">
        <v>527</v>
      </c>
      <c r="S16" s="179" t="s">
        <v>527</v>
      </c>
      <c r="T16" s="179" t="s">
        <v>527</v>
      </c>
      <c r="U16" s="180"/>
    </row>
    <row r="17" spans="1:21" s="181" customFormat="1" ht="18.75">
      <c r="A17" s="639">
        <v>3</v>
      </c>
      <c r="B17" s="112" t="s">
        <v>465</v>
      </c>
      <c r="C17" s="174">
        <f aca="true" t="shared" si="2" ref="C17:C22">D17+E17</f>
        <v>40.5</v>
      </c>
      <c r="D17" s="721">
        <f>E17/4*2</f>
        <v>13.5</v>
      </c>
      <c r="E17" s="174">
        <f aca="true" t="shared" si="3" ref="E17:E22">SUM(F17:K17)</f>
        <v>27</v>
      </c>
      <c r="F17" s="177">
        <v>1</v>
      </c>
      <c r="G17" s="177">
        <v>0</v>
      </c>
      <c r="H17" s="177">
        <v>0</v>
      </c>
      <c r="I17" s="177">
        <v>3</v>
      </c>
      <c r="J17" s="177">
        <v>1</v>
      </c>
      <c r="K17" s="177">
        <v>22</v>
      </c>
      <c r="L17" s="178"/>
      <c r="M17" s="177"/>
      <c r="N17" s="179" t="s">
        <v>527</v>
      </c>
      <c r="O17" s="179" t="s">
        <v>527</v>
      </c>
      <c r="P17" s="179"/>
      <c r="Q17" s="179" t="s">
        <v>527</v>
      </c>
      <c r="R17" s="179" t="s">
        <v>527</v>
      </c>
      <c r="S17" s="179" t="s">
        <v>527</v>
      </c>
      <c r="T17" s="179" t="s">
        <v>527</v>
      </c>
      <c r="U17" s="180"/>
    </row>
    <row r="18" spans="1:21" s="181" customFormat="1" ht="18.75">
      <c r="A18" s="639">
        <v>4</v>
      </c>
      <c r="B18" s="111" t="s">
        <v>350</v>
      </c>
      <c r="C18" s="174">
        <f t="shared" si="2"/>
        <v>37.5</v>
      </c>
      <c r="D18" s="721">
        <f aca="true" t="shared" si="4" ref="D18:D40">E18/4*2</f>
        <v>12.5</v>
      </c>
      <c r="E18" s="174">
        <f t="shared" si="3"/>
        <v>25</v>
      </c>
      <c r="F18" s="177">
        <v>0</v>
      </c>
      <c r="G18" s="177">
        <v>0</v>
      </c>
      <c r="H18" s="177">
        <v>0</v>
      </c>
      <c r="I18" s="177">
        <v>1</v>
      </c>
      <c r="J18" s="177">
        <v>4</v>
      </c>
      <c r="K18" s="177">
        <v>20</v>
      </c>
      <c r="L18" s="178"/>
      <c r="M18" s="177"/>
      <c r="N18" s="179" t="s">
        <v>527</v>
      </c>
      <c r="O18" s="179" t="s">
        <v>527</v>
      </c>
      <c r="P18" s="179"/>
      <c r="Q18" s="179" t="s">
        <v>527</v>
      </c>
      <c r="R18" s="179" t="s">
        <v>527</v>
      </c>
      <c r="S18" s="179" t="s">
        <v>527</v>
      </c>
      <c r="T18" s="179" t="s">
        <v>527</v>
      </c>
      <c r="U18" s="180"/>
    </row>
    <row r="19" spans="1:21" s="181" customFormat="1" ht="18.75">
      <c r="A19" s="639">
        <v>5</v>
      </c>
      <c r="B19" s="111" t="s">
        <v>355</v>
      </c>
      <c r="C19" s="174">
        <f t="shared" si="2"/>
        <v>19.5</v>
      </c>
      <c r="D19" s="721">
        <f t="shared" si="4"/>
        <v>6.5</v>
      </c>
      <c r="E19" s="174">
        <f t="shared" si="3"/>
        <v>13</v>
      </c>
      <c r="F19" s="177"/>
      <c r="G19" s="177"/>
      <c r="H19" s="177"/>
      <c r="I19" s="177">
        <v>3</v>
      </c>
      <c r="J19" s="177">
        <v>6</v>
      </c>
      <c r="K19" s="177">
        <v>4</v>
      </c>
      <c r="L19" s="178"/>
      <c r="M19" s="177"/>
      <c r="N19" s="179" t="s">
        <v>527</v>
      </c>
      <c r="O19" s="179" t="s">
        <v>527</v>
      </c>
      <c r="P19" s="179"/>
      <c r="Q19" s="179" t="s">
        <v>527</v>
      </c>
      <c r="R19" s="179" t="s">
        <v>527</v>
      </c>
      <c r="S19" s="179" t="s">
        <v>527</v>
      </c>
      <c r="T19" s="179" t="s">
        <v>527</v>
      </c>
      <c r="U19" s="180"/>
    </row>
    <row r="20" spans="1:21" s="181" customFormat="1" ht="18.75">
      <c r="A20" s="639">
        <v>6</v>
      </c>
      <c r="B20" s="111" t="s">
        <v>356</v>
      </c>
      <c r="C20" s="174">
        <f t="shared" si="2"/>
        <v>39</v>
      </c>
      <c r="D20" s="721">
        <f t="shared" si="4"/>
        <v>13</v>
      </c>
      <c r="E20" s="174">
        <f t="shared" si="3"/>
        <v>26</v>
      </c>
      <c r="F20" s="177">
        <v>0</v>
      </c>
      <c r="G20" s="177">
        <v>0</v>
      </c>
      <c r="H20" s="177">
        <v>0</v>
      </c>
      <c r="I20" s="177">
        <v>4</v>
      </c>
      <c r="J20" s="177">
        <v>2</v>
      </c>
      <c r="K20" s="177">
        <v>20</v>
      </c>
      <c r="L20" s="178"/>
      <c r="M20" s="177"/>
      <c r="N20" s="179" t="s">
        <v>527</v>
      </c>
      <c r="O20" s="179" t="s">
        <v>527</v>
      </c>
      <c r="P20" s="179"/>
      <c r="Q20" s="179" t="s">
        <v>527</v>
      </c>
      <c r="R20" s="179" t="s">
        <v>527</v>
      </c>
      <c r="S20" s="179" t="s">
        <v>527</v>
      </c>
      <c r="T20" s="179" t="s">
        <v>527</v>
      </c>
      <c r="U20" s="180"/>
    </row>
    <row r="21" spans="1:21" s="181" customFormat="1" ht="18.75">
      <c r="A21" s="639">
        <v>7</v>
      </c>
      <c r="B21" s="111" t="s">
        <v>481</v>
      </c>
      <c r="C21" s="174">
        <f t="shared" si="2"/>
        <v>18</v>
      </c>
      <c r="D21" s="721">
        <f t="shared" si="4"/>
        <v>6</v>
      </c>
      <c r="E21" s="174">
        <f t="shared" si="3"/>
        <v>12</v>
      </c>
      <c r="F21" s="177">
        <v>0</v>
      </c>
      <c r="G21" s="177">
        <v>0</v>
      </c>
      <c r="H21" s="177">
        <v>0</v>
      </c>
      <c r="I21" s="177">
        <v>3</v>
      </c>
      <c r="J21" s="177">
        <v>2</v>
      </c>
      <c r="K21" s="177">
        <v>7</v>
      </c>
      <c r="L21" s="178"/>
      <c r="M21" s="177"/>
      <c r="N21" s="179" t="s">
        <v>527</v>
      </c>
      <c r="O21" s="179" t="s">
        <v>527</v>
      </c>
      <c r="P21" s="179"/>
      <c r="Q21" s="179" t="s">
        <v>527</v>
      </c>
      <c r="R21" s="179" t="s">
        <v>527</v>
      </c>
      <c r="S21" s="179" t="s">
        <v>527</v>
      </c>
      <c r="T21" s="179" t="s">
        <v>527</v>
      </c>
      <c r="U21" s="180"/>
    </row>
    <row r="22" spans="1:21" s="181" customFormat="1" ht="18.75">
      <c r="A22" s="639">
        <v>8</v>
      </c>
      <c r="B22" s="113" t="s">
        <v>482</v>
      </c>
      <c r="C22" s="769">
        <f t="shared" si="2"/>
        <v>0</v>
      </c>
      <c r="D22" s="771"/>
      <c r="E22" s="769">
        <f t="shared" si="3"/>
        <v>0</v>
      </c>
      <c r="F22" s="177">
        <v>0</v>
      </c>
      <c r="G22" s="177"/>
      <c r="H22" s="177"/>
      <c r="I22" s="177">
        <v>0</v>
      </c>
      <c r="J22" s="177">
        <v>0</v>
      </c>
      <c r="K22" s="177"/>
      <c r="L22" s="178"/>
      <c r="M22" s="177"/>
      <c r="N22" s="179" t="s">
        <v>527</v>
      </c>
      <c r="O22" s="179" t="s">
        <v>527</v>
      </c>
      <c r="P22" s="179"/>
      <c r="Q22" s="179" t="s">
        <v>527</v>
      </c>
      <c r="R22" s="179" t="s">
        <v>527</v>
      </c>
      <c r="S22" s="179" t="s">
        <v>527</v>
      </c>
      <c r="T22" s="179" t="s">
        <v>527</v>
      </c>
      <c r="U22" s="180"/>
    </row>
    <row r="23" spans="1:21" s="181" customFormat="1" ht="18.75">
      <c r="A23" s="639">
        <v>9</v>
      </c>
      <c r="B23" s="114" t="s">
        <v>483</v>
      </c>
      <c r="C23" s="174">
        <f aca="true" t="shared" si="5" ref="C23:C31">D23+E23</f>
        <v>10.5</v>
      </c>
      <c r="D23" s="721">
        <f t="shared" si="4"/>
        <v>3.5</v>
      </c>
      <c r="E23" s="174">
        <f aca="true" t="shared" si="6" ref="E23:E31">SUM(F23:K23)</f>
        <v>7</v>
      </c>
      <c r="F23" s="177">
        <v>0</v>
      </c>
      <c r="G23" s="177">
        <v>0</v>
      </c>
      <c r="H23" s="177">
        <v>0</v>
      </c>
      <c r="I23" s="177">
        <v>3</v>
      </c>
      <c r="J23" s="177">
        <v>3</v>
      </c>
      <c r="K23" s="177">
        <v>1</v>
      </c>
      <c r="L23" s="178"/>
      <c r="M23" s="177"/>
      <c r="N23" s="179" t="s">
        <v>527</v>
      </c>
      <c r="O23" s="179" t="s">
        <v>527</v>
      </c>
      <c r="P23" s="179"/>
      <c r="Q23" s="179" t="s">
        <v>527</v>
      </c>
      <c r="R23" s="179" t="s">
        <v>527</v>
      </c>
      <c r="S23" s="179" t="s">
        <v>527</v>
      </c>
      <c r="T23" s="179" t="s">
        <v>527</v>
      </c>
      <c r="U23" s="180"/>
    </row>
    <row r="24" spans="1:21" s="181" customFormat="1" ht="18.75">
      <c r="A24" s="639">
        <v>10</v>
      </c>
      <c r="B24" s="111" t="s">
        <v>484</v>
      </c>
      <c r="C24" s="174">
        <f t="shared" si="5"/>
        <v>39</v>
      </c>
      <c r="D24" s="721">
        <f t="shared" si="4"/>
        <v>13</v>
      </c>
      <c r="E24" s="174">
        <f t="shared" si="6"/>
        <v>26</v>
      </c>
      <c r="F24" s="177"/>
      <c r="G24" s="177"/>
      <c r="H24" s="177"/>
      <c r="I24" s="177">
        <v>4</v>
      </c>
      <c r="J24" s="177">
        <v>1</v>
      </c>
      <c r="K24" s="177">
        <v>21</v>
      </c>
      <c r="L24" s="178"/>
      <c r="M24" s="177"/>
      <c r="N24" s="179" t="s">
        <v>527</v>
      </c>
      <c r="O24" s="179" t="s">
        <v>527</v>
      </c>
      <c r="P24" s="179"/>
      <c r="Q24" s="179" t="s">
        <v>527</v>
      </c>
      <c r="R24" s="179" t="s">
        <v>527</v>
      </c>
      <c r="S24" s="179" t="s">
        <v>527</v>
      </c>
      <c r="T24" s="179" t="s">
        <v>527</v>
      </c>
      <c r="U24" s="180"/>
    </row>
    <row r="25" spans="1:21" s="181" customFormat="1" ht="18.75">
      <c r="A25" s="639">
        <v>11</v>
      </c>
      <c r="B25" s="113" t="s">
        <v>447</v>
      </c>
      <c r="C25" s="174">
        <f t="shared" si="5"/>
        <v>72</v>
      </c>
      <c r="D25" s="721">
        <f t="shared" si="4"/>
        <v>24</v>
      </c>
      <c r="E25" s="174">
        <f t="shared" si="6"/>
        <v>48</v>
      </c>
      <c r="F25" s="177">
        <v>0</v>
      </c>
      <c r="G25" s="177">
        <v>0</v>
      </c>
      <c r="H25" s="177">
        <v>0</v>
      </c>
      <c r="I25" s="177">
        <v>4</v>
      </c>
      <c r="J25" s="177">
        <v>1</v>
      </c>
      <c r="K25" s="177">
        <v>43</v>
      </c>
      <c r="L25" s="178"/>
      <c r="M25" s="177"/>
      <c r="N25" s="179" t="s">
        <v>527</v>
      </c>
      <c r="O25" s="179" t="s">
        <v>527</v>
      </c>
      <c r="P25" s="179"/>
      <c r="Q25" s="179" t="s">
        <v>527</v>
      </c>
      <c r="R25" s="179" t="s">
        <v>527</v>
      </c>
      <c r="S25" s="179" t="s">
        <v>527</v>
      </c>
      <c r="T25" s="179" t="s">
        <v>527</v>
      </c>
      <c r="U25" s="180"/>
    </row>
    <row r="26" spans="1:21" s="181" customFormat="1" ht="18.75">
      <c r="A26" s="639">
        <v>12</v>
      </c>
      <c r="B26" s="111" t="s">
        <v>357</v>
      </c>
      <c r="C26" s="174">
        <f t="shared" si="5"/>
        <v>141</v>
      </c>
      <c r="D26" s="721">
        <f t="shared" si="4"/>
        <v>47</v>
      </c>
      <c r="E26" s="174">
        <f t="shared" si="6"/>
        <v>94</v>
      </c>
      <c r="F26" s="177">
        <v>3</v>
      </c>
      <c r="G26" s="177">
        <v>0</v>
      </c>
      <c r="H26" s="177">
        <v>0</v>
      </c>
      <c r="I26" s="177">
        <v>6</v>
      </c>
      <c r="J26" s="177">
        <v>3</v>
      </c>
      <c r="K26" s="177">
        <f>71+11</f>
        <v>82</v>
      </c>
      <c r="L26" s="178"/>
      <c r="M26" s="177"/>
      <c r="N26" s="179" t="s">
        <v>527</v>
      </c>
      <c r="O26" s="179" t="s">
        <v>527</v>
      </c>
      <c r="P26" s="179"/>
      <c r="Q26" s="179" t="s">
        <v>527</v>
      </c>
      <c r="R26" s="179" t="s">
        <v>527</v>
      </c>
      <c r="S26" s="179" t="s">
        <v>527</v>
      </c>
      <c r="T26" s="179" t="s">
        <v>527</v>
      </c>
      <c r="U26" s="180"/>
    </row>
    <row r="27" spans="1:21" s="181" customFormat="1" ht="18.75">
      <c r="A27" s="639">
        <v>13</v>
      </c>
      <c r="B27" s="113" t="s">
        <v>358</v>
      </c>
      <c r="C27" s="174">
        <f t="shared" si="5"/>
        <v>67.5</v>
      </c>
      <c r="D27" s="721">
        <f t="shared" si="4"/>
        <v>22.5</v>
      </c>
      <c r="E27" s="174">
        <f t="shared" si="6"/>
        <v>45</v>
      </c>
      <c r="F27" s="177">
        <v>1</v>
      </c>
      <c r="G27" s="177"/>
      <c r="H27" s="177"/>
      <c r="I27" s="177">
        <v>4</v>
      </c>
      <c r="J27" s="177">
        <v>5</v>
      </c>
      <c r="K27" s="177">
        <v>35</v>
      </c>
      <c r="L27" s="178"/>
      <c r="M27" s="177"/>
      <c r="N27" s="179" t="s">
        <v>527</v>
      </c>
      <c r="O27" s="179" t="s">
        <v>527</v>
      </c>
      <c r="P27" s="179"/>
      <c r="Q27" s="179" t="s">
        <v>527</v>
      </c>
      <c r="R27" s="179" t="s">
        <v>527</v>
      </c>
      <c r="S27" s="179" t="s">
        <v>527</v>
      </c>
      <c r="T27" s="179" t="s">
        <v>527</v>
      </c>
      <c r="U27" s="180"/>
    </row>
    <row r="28" spans="1:21" s="181" customFormat="1" ht="18.75">
      <c r="A28" s="639">
        <v>14</v>
      </c>
      <c r="B28" s="111" t="s">
        <v>359</v>
      </c>
      <c r="C28" s="174">
        <f t="shared" si="5"/>
        <v>13.5</v>
      </c>
      <c r="D28" s="721">
        <f t="shared" si="4"/>
        <v>4.5</v>
      </c>
      <c r="E28" s="174">
        <f t="shared" si="6"/>
        <v>9</v>
      </c>
      <c r="F28" s="177"/>
      <c r="G28" s="177"/>
      <c r="H28" s="177"/>
      <c r="I28" s="177">
        <v>2</v>
      </c>
      <c r="J28" s="177">
        <v>1</v>
      </c>
      <c r="K28" s="177">
        <v>6</v>
      </c>
      <c r="L28" s="178"/>
      <c r="M28" s="177"/>
      <c r="N28" s="179" t="s">
        <v>527</v>
      </c>
      <c r="O28" s="179" t="s">
        <v>527</v>
      </c>
      <c r="P28" s="179"/>
      <c r="Q28" s="179" t="s">
        <v>527</v>
      </c>
      <c r="R28" s="179" t="s">
        <v>527</v>
      </c>
      <c r="S28" s="179" t="s">
        <v>527</v>
      </c>
      <c r="T28" s="179" t="s">
        <v>527</v>
      </c>
      <c r="U28" s="180"/>
    </row>
    <row r="29" spans="1:21" s="181" customFormat="1" ht="18.75">
      <c r="A29" s="639">
        <v>15</v>
      </c>
      <c r="B29" s="111" t="s">
        <v>486</v>
      </c>
      <c r="C29" s="174">
        <f t="shared" si="5"/>
        <v>9</v>
      </c>
      <c r="D29" s="721">
        <f t="shared" si="4"/>
        <v>3</v>
      </c>
      <c r="E29" s="174">
        <f t="shared" si="6"/>
        <v>6</v>
      </c>
      <c r="F29" s="177">
        <v>0</v>
      </c>
      <c r="G29" s="177">
        <v>0</v>
      </c>
      <c r="H29" s="177">
        <v>0</v>
      </c>
      <c r="I29" s="177">
        <v>0</v>
      </c>
      <c r="J29" s="177">
        <v>0</v>
      </c>
      <c r="K29" s="177">
        <v>6</v>
      </c>
      <c r="L29" s="178"/>
      <c r="M29" s="177"/>
      <c r="N29" s="179" t="s">
        <v>527</v>
      </c>
      <c r="O29" s="179" t="s">
        <v>527</v>
      </c>
      <c r="P29" s="179"/>
      <c r="Q29" s="179" t="s">
        <v>527</v>
      </c>
      <c r="R29" s="179" t="s">
        <v>527</v>
      </c>
      <c r="S29" s="179" t="s">
        <v>527</v>
      </c>
      <c r="T29" s="179" t="s">
        <v>527</v>
      </c>
      <c r="U29" s="180"/>
    </row>
    <row r="30" spans="1:21" s="181" customFormat="1" ht="18.75">
      <c r="A30" s="639">
        <v>16</v>
      </c>
      <c r="B30" s="111" t="s">
        <v>487</v>
      </c>
      <c r="C30" s="174">
        <f t="shared" si="5"/>
        <v>12</v>
      </c>
      <c r="D30" s="721">
        <f t="shared" si="4"/>
        <v>4</v>
      </c>
      <c r="E30" s="174">
        <f t="shared" si="6"/>
        <v>8</v>
      </c>
      <c r="F30" s="177"/>
      <c r="G30" s="177"/>
      <c r="H30" s="177"/>
      <c r="I30" s="177"/>
      <c r="J30" s="177"/>
      <c r="K30" s="177">
        <v>8</v>
      </c>
      <c r="L30" s="178"/>
      <c r="M30" s="177"/>
      <c r="N30" s="179" t="s">
        <v>527</v>
      </c>
      <c r="O30" s="179" t="s">
        <v>527</v>
      </c>
      <c r="P30" s="179"/>
      <c r="Q30" s="179" t="s">
        <v>527</v>
      </c>
      <c r="R30" s="179" t="s">
        <v>527</v>
      </c>
      <c r="S30" s="179" t="s">
        <v>527</v>
      </c>
      <c r="T30" s="179" t="s">
        <v>527</v>
      </c>
      <c r="U30" s="180"/>
    </row>
    <row r="31" spans="1:21" s="181" customFormat="1" ht="18.75">
      <c r="A31" s="639">
        <v>17</v>
      </c>
      <c r="B31" s="111" t="s">
        <v>360</v>
      </c>
      <c r="C31" s="174">
        <f t="shared" si="5"/>
        <v>27</v>
      </c>
      <c r="D31" s="721">
        <f t="shared" si="4"/>
        <v>9</v>
      </c>
      <c r="E31" s="174">
        <f t="shared" si="6"/>
        <v>18</v>
      </c>
      <c r="F31" s="177">
        <v>0</v>
      </c>
      <c r="G31" s="177">
        <v>0</v>
      </c>
      <c r="H31" s="177">
        <v>0</v>
      </c>
      <c r="I31" s="177">
        <v>0</v>
      </c>
      <c r="J31" s="177">
        <v>0</v>
      </c>
      <c r="K31" s="177">
        <v>18</v>
      </c>
      <c r="L31" s="178"/>
      <c r="M31" s="177"/>
      <c r="N31" s="179" t="s">
        <v>527</v>
      </c>
      <c r="O31" s="179" t="s">
        <v>527</v>
      </c>
      <c r="P31" s="179"/>
      <c r="Q31" s="179" t="s">
        <v>527</v>
      </c>
      <c r="R31" s="179" t="s">
        <v>527</v>
      </c>
      <c r="S31" s="179" t="s">
        <v>527</v>
      </c>
      <c r="T31" s="179" t="s">
        <v>527</v>
      </c>
      <c r="U31" s="180"/>
    </row>
    <row r="32" spans="1:21" s="181" customFormat="1" ht="18.75">
      <c r="A32" s="639">
        <v>18</v>
      </c>
      <c r="B32" s="111" t="s">
        <v>488</v>
      </c>
      <c r="C32" s="174"/>
      <c r="D32" s="771"/>
      <c r="E32" s="174"/>
      <c r="F32" s="177"/>
      <c r="G32" s="177"/>
      <c r="H32" s="177"/>
      <c r="I32" s="177"/>
      <c r="J32" s="177"/>
      <c r="K32" s="177"/>
      <c r="L32" s="178"/>
      <c r="M32" s="177"/>
      <c r="N32" s="179" t="s">
        <v>527</v>
      </c>
      <c r="O32" s="179" t="s">
        <v>527</v>
      </c>
      <c r="P32" s="179"/>
      <c r="Q32" s="179" t="s">
        <v>527</v>
      </c>
      <c r="R32" s="179" t="s">
        <v>527</v>
      </c>
      <c r="S32" s="179" t="s">
        <v>527</v>
      </c>
      <c r="T32" s="179" t="s">
        <v>527</v>
      </c>
      <c r="U32" s="180"/>
    </row>
    <row r="33" spans="1:21" s="181" customFormat="1" ht="18.75">
      <c r="A33" s="639">
        <v>19</v>
      </c>
      <c r="B33" s="114" t="s">
        <v>361</v>
      </c>
      <c r="C33" s="174">
        <f>D33+E33</f>
        <v>6</v>
      </c>
      <c r="D33" s="721">
        <f t="shared" si="4"/>
        <v>2</v>
      </c>
      <c r="E33" s="174">
        <f>SUM(F33:K33)</f>
        <v>4</v>
      </c>
      <c r="F33" s="177"/>
      <c r="G33" s="177"/>
      <c r="H33" s="177"/>
      <c r="I33" s="177">
        <v>2</v>
      </c>
      <c r="J33" s="177"/>
      <c r="K33" s="177">
        <v>2</v>
      </c>
      <c r="L33" s="178"/>
      <c r="M33" s="177"/>
      <c r="N33" s="179" t="s">
        <v>527</v>
      </c>
      <c r="O33" s="179" t="s">
        <v>527</v>
      </c>
      <c r="P33" s="179"/>
      <c r="Q33" s="179" t="s">
        <v>527</v>
      </c>
      <c r="R33" s="179" t="s">
        <v>527</v>
      </c>
      <c r="S33" s="179" t="s">
        <v>527</v>
      </c>
      <c r="T33" s="179" t="s">
        <v>527</v>
      </c>
      <c r="U33" s="180"/>
    </row>
    <row r="34" spans="1:21" s="181" customFormat="1" ht="18.75">
      <c r="A34" s="639">
        <v>20</v>
      </c>
      <c r="B34" s="113" t="s">
        <v>489</v>
      </c>
      <c r="C34" s="174">
        <f>D34+E34</f>
        <v>1.5</v>
      </c>
      <c r="D34" s="721">
        <f t="shared" si="4"/>
        <v>0.5</v>
      </c>
      <c r="E34" s="174">
        <f>SUM(F34:K34)</f>
        <v>1</v>
      </c>
      <c r="F34" s="177">
        <v>0</v>
      </c>
      <c r="G34" s="177">
        <v>0</v>
      </c>
      <c r="H34" s="177">
        <v>0</v>
      </c>
      <c r="I34" s="177">
        <v>0</v>
      </c>
      <c r="J34" s="177">
        <v>0</v>
      </c>
      <c r="K34" s="177">
        <v>1</v>
      </c>
      <c r="L34" s="178"/>
      <c r="M34" s="177"/>
      <c r="N34" s="179" t="s">
        <v>527</v>
      </c>
      <c r="O34" s="179" t="s">
        <v>527</v>
      </c>
      <c r="P34" s="179"/>
      <c r="Q34" s="179" t="s">
        <v>527</v>
      </c>
      <c r="R34" s="179" t="s">
        <v>527</v>
      </c>
      <c r="S34" s="179" t="s">
        <v>527</v>
      </c>
      <c r="T34" s="179" t="s">
        <v>527</v>
      </c>
      <c r="U34" s="180"/>
    </row>
    <row r="35" spans="1:21" s="181" customFormat="1" ht="25.5" customHeight="1">
      <c r="A35" s="829" t="s">
        <v>528</v>
      </c>
      <c r="B35" s="829"/>
      <c r="C35" s="171">
        <f aca="true" t="shared" si="7" ref="C35:K35">SUM(C36:C40)</f>
        <v>37.5</v>
      </c>
      <c r="D35" s="171">
        <f t="shared" si="7"/>
        <v>12.5</v>
      </c>
      <c r="E35" s="171">
        <f t="shared" si="7"/>
        <v>25</v>
      </c>
      <c r="F35" s="171">
        <f t="shared" si="7"/>
        <v>3</v>
      </c>
      <c r="G35" s="171">
        <f t="shared" si="7"/>
        <v>3</v>
      </c>
      <c r="H35" s="171">
        <f t="shared" si="7"/>
        <v>0</v>
      </c>
      <c r="I35" s="171">
        <f t="shared" si="7"/>
        <v>1</v>
      </c>
      <c r="J35" s="171">
        <f t="shared" si="7"/>
        <v>2</v>
      </c>
      <c r="K35" s="171">
        <f t="shared" si="7"/>
        <v>16</v>
      </c>
      <c r="L35" s="172"/>
      <c r="M35" s="171"/>
      <c r="N35" s="179" t="s">
        <v>527</v>
      </c>
      <c r="O35" s="179" t="s">
        <v>527</v>
      </c>
      <c r="P35" s="179"/>
      <c r="Q35" s="179" t="s">
        <v>527</v>
      </c>
      <c r="R35" s="179" t="s">
        <v>527</v>
      </c>
      <c r="S35" s="179" t="s">
        <v>527</v>
      </c>
      <c r="T35" s="179" t="s">
        <v>527</v>
      </c>
      <c r="U35" s="180"/>
    </row>
    <row r="36" spans="1:21" s="181" customFormat="1" ht="18.75">
      <c r="A36" s="673">
        <v>1</v>
      </c>
      <c r="B36" s="113" t="s">
        <v>529</v>
      </c>
      <c r="C36" s="174">
        <f>D36+E36</f>
        <v>1.5</v>
      </c>
      <c r="D36" s="721">
        <f t="shared" si="4"/>
        <v>0.5</v>
      </c>
      <c r="E36" s="174">
        <f>SUM(F36:K36)</f>
        <v>1</v>
      </c>
      <c r="F36" s="182">
        <v>1</v>
      </c>
      <c r="G36" s="179"/>
      <c r="H36" s="182"/>
      <c r="I36" s="182"/>
      <c r="J36" s="182"/>
      <c r="K36" s="179"/>
      <c r="L36" s="183"/>
      <c r="M36" s="179"/>
      <c r="N36" s="179" t="s">
        <v>527</v>
      </c>
      <c r="O36" s="179" t="s">
        <v>527</v>
      </c>
      <c r="P36" s="179"/>
      <c r="Q36" s="179" t="s">
        <v>527</v>
      </c>
      <c r="R36" s="179" t="s">
        <v>527</v>
      </c>
      <c r="S36" s="179" t="s">
        <v>527</v>
      </c>
      <c r="T36" s="179" t="s">
        <v>527</v>
      </c>
      <c r="U36" s="180"/>
    </row>
    <row r="37" spans="1:21" s="181" customFormat="1" ht="18.75">
      <c r="A37" s="673">
        <v>2</v>
      </c>
      <c r="B37" s="113" t="s">
        <v>530</v>
      </c>
      <c r="C37" s="174">
        <f>D37+E37</f>
        <v>6</v>
      </c>
      <c r="D37" s="721">
        <f t="shared" si="4"/>
        <v>2</v>
      </c>
      <c r="E37" s="174">
        <f>SUM(F37:K37)</f>
        <v>4</v>
      </c>
      <c r="F37" s="182"/>
      <c r="G37" s="179">
        <v>3</v>
      </c>
      <c r="H37" s="182"/>
      <c r="I37" s="182"/>
      <c r="J37" s="182">
        <v>1</v>
      </c>
      <c r="K37" s="179"/>
      <c r="L37" s="183"/>
      <c r="M37" s="179"/>
      <c r="N37" s="179" t="s">
        <v>527</v>
      </c>
      <c r="O37" s="179" t="s">
        <v>527</v>
      </c>
      <c r="P37" s="179"/>
      <c r="Q37" s="179" t="s">
        <v>527</v>
      </c>
      <c r="R37" s="179" t="s">
        <v>527</v>
      </c>
      <c r="S37" s="179" t="s">
        <v>527</v>
      </c>
      <c r="T37" s="179" t="s">
        <v>527</v>
      </c>
      <c r="U37" s="180"/>
    </row>
    <row r="38" spans="1:21" s="181" customFormat="1" ht="31.5">
      <c r="A38" s="673">
        <v>3</v>
      </c>
      <c r="B38" s="113" t="s">
        <v>531</v>
      </c>
      <c r="C38" s="759">
        <f>D38+E38</f>
        <v>0</v>
      </c>
      <c r="D38" s="771"/>
      <c r="E38" s="759">
        <f>SUM(F38:K38)</f>
        <v>0</v>
      </c>
      <c r="F38" s="177">
        <v>0</v>
      </c>
      <c r="G38" s="177">
        <v>0</v>
      </c>
      <c r="H38" s="177">
        <v>0</v>
      </c>
      <c r="I38" s="177">
        <v>0</v>
      </c>
      <c r="J38" s="177">
        <v>0</v>
      </c>
      <c r="K38" s="177">
        <v>0</v>
      </c>
      <c r="L38" s="178"/>
      <c r="M38" s="177"/>
      <c r="N38" s="179" t="s">
        <v>527</v>
      </c>
      <c r="O38" s="179" t="s">
        <v>527</v>
      </c>
      <c r="P38" s="179"/>
      <c r="Q38" s="179" t="s">
        <v>527</v>
      </c>
      <c r="R38" s="179" t="s">
        <v>527</v>
      </c>
      <c r="S38" s="179" t="s">
        <v>527</v>
      </c>
      <c r="T38" s="179" t="s">
        <v>527</v>
      </c>
      <c r="U38" s="180"/>
    </row>
    <row r="39" spans="1:21" s="181" customFormat="1" ht="18.75">
      <c r="A39" s="673">
        <v>4</v>
      </c>
      <c r="B39" s="113" t="s">
        <v>532</v>
      </c>
      <c r="C39" s="174"/>
      <c r="D39" s="771"/>
      <c r="E39" s="174"/>
      <c r="F39" s="177"/>
      <c r="G39" s="177"/>
      <c r="H39" s="177"/>
      <c r="I39" s="177"/>
      <c r="J39" s="177"/>
      <c r="K39" s="177"/>
      <c r="L39" s="178"/>
      <c r="M39" s="177"/>
      <c r="N39" s="179" t="s">
        <v>527</v>
      </c>
      <c r="O39" s="179" t="s">
        <v>527</v>
      </c>
      <c r="P39" s="179"/>
      <c r="Q39" s="179" t="s">
        <v>527</v>
      </c>
      <c r="R39" s="179" t="s">
        <v>527</v>
      </c>
      <c r="S39" s="179" t="s">
        <v>527</v>
      </c>
      <c r="T39" s="179" t="s">
        <v>527</v>
      </c>
      <c r="U39" s="180"/>
    </row>
    <row r="40" spans="1:21" s="181" customFormat="1" ht="18.75">
      <c r="A40" s="673">
        <v>5</v>
      </c>
      <c r="B40" s="113" t="s">
        <v>533</v>
      </c>
      <c r="C40" s="174">
        <f>D40+E40</f>
        <v>30</v>
      </c>
      <c r="D40" s="721">
        <f t="shared" si="4"/>
        <v>10</v>
      </c>
      <c r="E40" s="174">
        <f>SUM(F40:K40)</f>
        <v>20</v>
      </c>
      <c r="F40" s="177">
        <v>2</v>
      </c>
      <c r="G40" s="177"/>
      <c r="H40" s="177"/>
      <c r="I40" s="177">
        <v>1</v>
      </c>
      <c r="J40" s="177">
        <f>1</f>
        <v>1</v>
      </c>
      <c r="K40" s="177">
        <v>16</v>
      </c>
      <c r="L40" s="178"/>
      <c r="M40" s="177"/>
      <c r="N40" s="179" t="s">
        <v>527</v>
      </c>
      <c r="O40" s="179" t="s">
        <v>527</v>
      </c>
      <c r="P40" s="179"/>
      <c r="Q40" s="179" t="s">
        <v>527</v>
      </c>
      <c r="R40" s="179" t="s">
        <v>527</v>
      </c>
      <c r="S40" s="179" t="s">
        <v>527</v>
      </c>
      <c r="T40" s="179" t="s">
        <v>527</v>
      </c>
      <c r="U40" s="180"/>
    </row>
    <row r="41" spans="1:21" s="185" customFormat="1" ht="25.5" customHeight="1">
      <c r="A41" s="830" t="s">
        <v>461</v>
      </c>
      <c r="B41" s="830"/>
      <c r="C41" s="179" t="s">
        <v>527</v>
      </c>
      <c r="D41" s="179" t="s">
        <v>527</v>
      </c>
      <c r="E41" s="179" t="s">
        <v>527</v>
      </c>
      <c r="F41" s="179"/>
      <c r="G41" s="179"/>
      <c r="H41" s="179" t="s">
        <v>527</v>
      </c>
      <c r="I41" s="179" t="s">
        <v>527</v>
      </c>
      <c r="J41" s="179" t="s">
        <v>527</v>
      </c>
      <c r="K41" s="179" t="s">
        <v>527</v>
      </c>
      <c r="L41" s="183"/>
      <c r="M41" s="179"/>
      <c r="N41" s="171">
        <f aca="true" t="shared" si="8" ref="N41:T41">SUM(N42:N104)</f>
        <v>43177</v>
      </c>
      <c r="O41" s="171">
        <f t="shared" si="8"/>
        <v>13906</v>
      </c>
      <c r="P41" s="184">
        <f t="shared" si="8"/>
        <v>14635.5</v>
      </c>
      <c r="Q41" s="171">
        <f t="shared" si="8"/>
        <v>29271</v>
      </c>
      <c r="R41" s="171">
        <f t="shared" si="8"/>
        <v>967</v>
      </c>
      <c r="S41" s="171">
        <f t="shared" si="8"/>
        <v>3379</v>
      </c>
      <c r="T41" s="171">
        <f t="shared" si="8"/>
        <v>24925</v>
      </c>
      <c r="U41" s="180"/>
    </row>
    <row r="42" spans="1:21" s="185" customFormat="1" ht="25.5" customHeight="1">
      <c r="A42" s="674">
        <v>1</v>
      </c>
      <c r="B42" s="675" t="s">
        <v>449</v>
      </c>
      <c r="C42" s="179" t="s">
        <v>527</v>
      </c>
      <c r="D42" s="179" t="s">
        <v>527</v>
      </c>
      <c r="E42" s="179" t="s">
        <v>527</v>
      </c>
      <c r="F42" s="179"/>
      <c r="G42" s="179"/>
      <c r="H42" s="179" t="s">
        <v>527</v>
      </c>
      <c r="I42" s="179" t="s">
        <v>527</v>
      </c>
      <c r="J42" s="179" t="s">
        <v>527</v>
      </c>
      <c r="K42" s="179" t="s">
        <v>527</v>
      </c>
      <c r="L42" s="183">
        <f>N42/'[1]1'!$K$16</f>
        <v>0.75177304964539</v>
      </c>
      <c r="M42" s="179">
        <f>N42-'[1]1'!$K$16</f>
        <v>-105</v>
      </c>
      <c r="N42" s="171">
        <f aca="true" t="shared" si="9" ref="N42:N73">O42+Q42</f>
        <v>318</v>
      </c>
      <c r="O42" s="186">
        <v>64</v>
      </c>
      <c r="P42" s="184">
        <f aca="true" t="shared" si="10" ref="P42:P73">(Q42/4)*2</f>
        <v>127</v>
      </c>
      <c r="Q42" s="171">
        <f aca="true" t="shared" si="11" ref="Q42:Q73">SUM(R42:T42)</f>
        <v>254</v>
      </c>
      <c r="R42" s="186">
        <v>5</v>
      </c>
      <c r="S42" s="186">
        <v>44</v>
      </c>
      <c r="T42" s="186">
        <v>205</v>
      </c>
      <c r="U42" s="180"/>
    </row>
    <row r="43" spans="1:21" s="185" customFormat="1" ht="38.25">
      <c r="A43" s="674">
        <v>2</v>
      </c>
      <c r="B43" s="675" t="s">
        <v>534</v>
      </c>
      <c r="C43" s="179" t="s">
        <v>527</v>
      </c>
      <c r="D43" s="179" t="s">
        <v>527</v>
      </c>
      <c r="E43" s="179" t="s">
        <v>527</v>
      </c>
      <c r="F43" s="179"/>
      <c r="G43" s="179"/>
      <c r="H43" s="179" t="s">
        <v>527</v>
      </c>
      <c r="I43" s="179" t="s">
        <v>527</v>
      </c>
      <c r="J43" s="179" t="s">
        <v>527</v>
      </c>
      <c r="K43" s="179" t="s">
        <v>527</v>
      </c>
      <c r="L43" s="183">
        <f>N43/'[1]1'!$K$17</f>
        <v>1.3927765237020315</v>
      </c>
      <c r="M43" s="179">
        <f>N43-'[1]1'!$K$17</f>
        <v>174</v>
      </c>
      <c r="N43" s="171">
        <f t="shared" si="9"/>
        <v>617</v>
      </c>
      <c r="O43" s="186">
        <v>206</v>
      </c>
      <c r="P43" s="184">
        <f t="shared" si="10"/>
        <v>205.5</v>
      </c>
      <c r="Q43" s="187">
        <f t="shared" si="11"/>
        <v>411</v>
      </c>
      <c r="R43" s="186">
        <v>19</v>
      </c>
      <c r="S43" s="186">
        <v>23</v>
      </c>
      <c r="T43" s="186">
        <v>369</v>
      </c>
      <c r="U43" s="180" t="s">
        <v>535</v>
      </c>
    </row>
    <row r="44" spans="1:21" s="185" customFormat="1" ht="25.5" customHeight="1">
      <c r="A44" s="674">
        <v>3</v>
      </c>
      <c r="B44" s="675" t="s">
        <v>451</v>
      </c>
      <c r="C44" s="179" t="s">
        <v>527</v>
      </c>
      <c r="D44" s="179" t="s">
        <v>527</v>
      </c>
      <c r="E44" s="179" t="s">
        <v>527</v>
      </c>
      <c r="F44" s="179"/>
      <c r="G44" s="179"/>
      <c r="H44" s="179" t="s">
        <v>527</v>
      </c>
      <c r="I44" s="179" t="s">
        <v>527</v>
      </c>
      <c r="J44" s="179" t="s">
        <v>527</v>
      </c>
      <c r="K44" s="179" t="s">
        <v>527</v>
      </c>
      <c r="L44" s="183">
        <f>N44/'[1]1'!$K$18</f>
        <v>1.2228915662650603</v>
      </c>
      <c r="M44" s="179">
        <f>N44-'[1]1'!$K$18</f>
        <v>37</v>
      </c>
      <c r="N44" s="171">
        <f t="shared" si="9"/>
        <v>203</v>
      </c>
      <c r="O44" s="186">
        <v>68</v>
      </c>
      <c r="P44" s="184">
        <f t="shared" si="10"/>
        <v>67.5</v>
      </c>
      <c r="Q44" s="171">
        <f t="shared" si="11"/>
        <v>135</v>
      </c>
      <c r="R44" s="186">
        <v>43</v>
      </c>
      <c r="S44" s="186">
        <v>26</v>
      </c>
      <c r="T44" s="186">
        <v>66</v>
      </c>
      <c r="U44" s="180"/>
    </row>
    <row r="45" spans="1:21" s="185" customFormat="1" ht="25.5" customHeight="1">
      <c r="A45" s="674">
        <v>4</v>
      </c>
      <c r="B45" s="675" t="s">
        <v>452</v>
      </c>
      <c r="C45" s="179" t="s">
        <v>527</v>
      </c>
      <c r="D45" s="179" t="s">
        <v>527</v>
      </c>
      <c r="E45" s="179" t="s">
        <v>527</v>
      </c>
      <c r="F45" s="179"/>
      <c r="G45" s="179"/>
      <c r="H45" s="179" t="s">
        <v>527</v>
      </c>
      <c r="I45" s="179" t="s">
        <v>527</v>
      </c>
      <c r="J45" s="179" t="s">
        <v>527</v>
      </c>
      <c r="K45" s="179" t="s">
        <v>527</v>
      </c>
      <c r="L45" s="183">
        <f>N45/'[1]1'!$K$19</f>
        <v>0.7669172932330827</v>
      </c>
      <c r="M45" s="179">
        <f>N45-'[1]1'!$K$19</f>
        <v>-93</v>
      </c>
      <c r="N45" s="171">
        <f t="shared" si="9"/>
        <v>306</v>
      </c>
      <c r="O45" s="186">
        <v>102</v>
      </c>
      <c r="P45" s="184">
        <f t="shared" si="10"/>
        <v>102</v>
      </c>
      <c r="Q45" s="171">
        <f t="shared" si="11"/>
        <v>204</v>
      </c>
      <c r="R45" s="186">
        <v>21</v>
      </c>
      <c r="S45" s="186">
        <v>19</v>
      </c>
      <c r="T45" s="186">
        <v>164</v>
      </c>
      <c r="U45" s="180"/>
    </row>
    <row r="46" spans="1:21" s="185" customFormat="1" ht="25.5" customHeight="1">
      <c r="A46" s="674">
        <v>5</v>
      </c>
      <c r="B46" s="675" t="s">
        <v>453</v>
      </c>
      <c r="C46" s="179" t="s">
        <v>527</v>
      </c>
      <c r="D46" s="179" t="s">
        <v>527</v>
      </c>
      <c r="E46" s="179" t="s">
        <v>527</v>
      </c>
      <c r="F46" s="179"/>
      <c r="G46" s="179"/>
      <c r="H46" s="179" t="s">
        <v>527</v>
      </c>
      <c r="I46" s="179" t="s">
        <v>527</v>
      </c>
      <c r="J46" s="179" t="s">
        <v>527</v>
      </c>
      <c r="K46" s="179" t="s">
        <v>527</v>
      </c>
      <c r="L46" s="183">
        <f>N46/'[1]1'!$K$20</f>
        <v>2.5157894736842104</v>
      </c>
      <c r="M46" s="179">
        <f>N46-'[1]1'!$K$20</f>
        <v>144</v>
      </c>
      <c r="N46" s="171">
        <f t="shared" si="9"/>
        <v>239</v>
      </c>
      <c r="O46" s="186">
        <v>80</v>
      </c>
      <c r="P46" s="184">
        <f t="shared" si="10"/>
        <v>79.5</v>
      </c>
      <c r="Q46" s="171">
        <f t="shared" si="11"/>
        <v>159</v>
      </c>
      <c r="R46" s="186">
        <v>4</v>
      </c>
      <c r="S46" s="186">
        <v>48</v>
      </c>
      <c r="T46" s="186">
        <v>107</v>
      </c>
      <c r="U46" s="180"/>
    </row>
    <row r="47" spans="1:21" s="185" customFormat="1" ht="25.5" customHeight="1">
      <c r="A47" s="674">
        <v>6</v>
      </c>
      <c r="B47" s="675" t="s">
        <v>454</v>
      </c>
      <c r="C47" s="179" t="s">
        <v>527</v>
      </c>
      <c r="D47" s="179" t="s">
        <v>527</v>
      </c>
      <c r="E47" s="179" t="s">
        <v>527</v>
      </c>
      <c r="F47" s="179"/>
      <c r="G47" s="179"/>
      <c r="H47" s="179" t="s">
        <v>527</v>
      </c>
      <c r="I47" s="179" t="s">
        <v>527</v>
      </c>
      <c r="J47" s="179" t="s">
        <v>527</v>
      </c>
      <c r="K47" s="179" t="s">
        <v>527</v>
      </c>
      <c r="L47" s="183">
        <f>N47/'[1]1'!$K$21</f>
        <v>0.5838150289017341</v>
      </c>
      <c r="M47" s="179">
        <f>N47-'[1]1'!$K$21</f>
        <v>-72</v>
      </c>
      <c r="N47" s="171">
        <f t="shared" si="9"/>
        <v>101</v>
      </c>
      <c r="O47" s="186">
        <v>25</v>
      </c>
      <c r="P47" s="184">
        <f t="shared" si="10"/>
        <v>38</v>
      </c>
      <c r="Q47" s="171">
        <f t="shared" si="11"/>
        <v>76</v>
      </c>
      <c r="R47" s="186">
        <v>35</v>
      </c>
      <c r="S47" s="186">
        <v>3</v>
      </c>
      <c r="T47" s="186">
        <v>38</v>
      </c>
      <c r="U47" s="180"/>
    </row>
    <row r="48" spans="1:21" s="185" customFormat="1" ht="25.5" customHeight="1">
      <c r="A48" s="674">
        <v>7</v>
      </c>
      <c r="B48" s="675" t="s">
        <v>455</v>
      </c>
      <c r="C48" s="179" t="s">
        <v>527</v>
      </c>
      <c r="D48" s="179" t="s">
        <v>527</v>
      </c>
      <c r="E48" s="179" t="s">
        <v>527</v>
      </c>
      <c r="F48" s="179"/>
      <c r="G48" s="179"/>
      <c r="H48" s="179" t="s">
        <v>527</v>
      </c>
      <c r="I48" s="179" t="s">
        <v>527</v>
      </c>
      <c r="J48" s="179" t="s">
        <v>527</v>
      </c>
      <c r="K48" s="179" t="s">
        <v>527</v>
      </c>
      <c r="L48" s="183">
        <f>N48/'[1]1'!$K$22</f>
        <v>1.4719827586206897</v>
      </c>
      <c r="M48" s="179">
        <f>N48-'[1]1'!$K$22</f>
        <v>219</v>
      </c>
      <c r="N48" s="171">
        <f t="shared" si="9"/>
        <v>683</v>
      </c>
      <c r="O48" s="186">
        <v>160</v>
      </c>
      <c r="P48" s="184">
        <f t="shared" si="10"/>
        <v>261.5</v>
      </c>
      <c r="Q48" s="171">
        <f t="shared" si="11"/>
        <v>523</v>
      </c>
      <c r="R48" s="186">
        <v>15</v>
      </c>
      <c r="S48" s="186">
        <v>12</v>
      </c>
      <c r="T48" s="186">
        <v>496</v>
      </c>
      <c r="U48" s="180"/>
    </row>
    <row r="49" spans="1:21" s="185" customFormat="1" ht="76.5">
      <c r="A49" s="674">
        <v>8</v>
      </c>
      <c r="B49" s="675" t="s">
        <v>456</v>
      </c>
      <c r="C49" s="179" t="s">
        <v>527</v>
      </c>
      <c r="D49" s="179" t="s">
        <v>527</v>
      </c>
      <c r="E49" s="179" t="s">
        <v>527</v>
      </c>
      <c r="F49" s="179"/>
      <c r="G49" s="179"/>
      <c r="H49" s="179" t="s">
        <v>527</v>
      </c>
      <c r="I49" s="179" t="s">
        <v>527</v>
      </c>
      <c r="J49" s="179" t="s">
        <v>527</v>
      </c>
      <c r="K49" s="179" t="s">
        <v>527</v>
      </c>
      <c r="L49" s="183">
        <f>N49/'[1]1'!$K$23</f>
        <v>6.148936170212766</v>
      </c>
      <c r="M49" s="179">
        <f>N49-'[1]1'!$K$23</f>
        <v>3630</v>
      </c>
      <c r="N49" s="187">
        <f t="shared" si="9"/>
        <v>4335</v>
      </c>
      <c r="O49" s="186">
        <v>1445</v>
      </c>
      <c r="P49" s="184">
        <f t="shared" si="10"/>
        <v>1445</v>
      </c>
      <c r="Q49" s="187">
        <f t="shared" si="11"/>
        <v>2890</v>
      </c>
      <c r="R49" s="186">
        <v>0</v>
      </c>
      <c r="S49" s="186">
        <v>1253</v>
      </c>
      <c r="T49" s="186">
        <v>1637</v>
      </c>
      <c r="U49" s="180" t="s">
        <v>536</v>
      </c>
    </row>
    <row r="50" spans="1:21" s="185" customFormat="1" ht="25.5" customHeight="1">
      <c r="A50" s="674">
        <v>9</v>
      </c>
      <c r="B50" s="675" t="s">
        <v>457</v>
      </c>
      <c r="C50" s="179" t="s">
        <v>527</v>
      </c>
      <c r="D50" s="179" t="s">
        <v>527</v>
      </c>
      <c r="E50" s="179" t="s">
        <v>527</v>
      </c>
      <c r="F50" s="179"/>
      <c r="G50" s="179"/>
      <c r="H50" s="179" t="s">
        <v>527</v>
      </c>
      <c r="I50" s="179" t="s">
        <v>527</v>
      </c>
      <c r="J50" s="179" t="s">
        <v>527</v>
      </c>
      <c r="K50" s="179" t="s">
        <v>527</v>
      </c>
      <c r="L50" s="183">
        <f>N50/'[1]1'!$K$24</f>
        <v>1.4831460674157304</v>
      </c>
      <c r="M50" s="179">
        <f>N50-'[1]1'!$K$24</f>
        <v>129</v>
      </c>
      <c r="N50" s="171">
        <f t="shared" si="9"/>
        <v>396</v>
      </c>
      <c r="O50" s="186">
        <v>132</v>
      </c>
      <c r="P50" s="184">
        <f t="shared" si="10"/>
        <v>132</v>
      </c>
      <c r="Q50" s="171">
        <f t="shared" si="11"/>
        <v>264</v>
      </c>
      <c r="R50" s="186">
        <v>14</v>
      </c>
      <c r="S50" s="186">
        <v>20</v>
      </c>
      <c r="T50" s="186">
        <v>230</v>
      </c>
      <c r="U50" s="180"/>
    </row>
    <row r="51" spans="1:21" s="185" customFormat="1" ht="25.5" customHeight="1">
      <c r="A51" s="674">
        <v>10</v>
      </c>
      <c r="B51" s="675" t="s">
        <v>362</v>
      </c>
      <c r="C51" s="179" t="s">
        <v>527</v>
      </c>
      <c r="D51" s="179" t="s">
        <v>527</v>
      </c>
      <c r="E51" s="179" t="s">
        <v>527</v>
      </c>
      <c r="F51" s="179"/>
      <c r="G51" s="179"/>
      <c r="H51" s="179" t="s">
        <v>527</v>
      </c>
      <c r="I51" s="179" t="s">
        <v>527</v>
      </c>
      <c r="J51" s="179" t="s">
        <v>527</v>
      </c>
      <c r="K51" s="179" t="s">
        <v>527</v>
      </c>
      <c r="L51" s="183">
        <f>N51/'[1]1'!$K$25</f>
        <v>5.763888888888889</v>
      </c>
      <c r="M51" s="179">
        <f>N51-'[1]1'!$K$25</f>
        <v>343</v>
      </c>
      <c r="N51" s="187">
        <f t="shared" si="9"/>
        <v>415</v>
      </c>
      <c r="O51" s="186">
        <v>130</v>
      </c>
      <c r="P51" s="184">
        <f t="shared" si="10"/>
        <v>142.5</v>
      </c>
      <c r="Q51" s="188">
        <f t="shared" si="11"/>
        <v>285</v>
      </c>
      <c r="R51" s="186">
        <v>1</v>
      </c>
      <c r="S51" s="186">
        <v>28</v>
      </c>
      <c r="T51" s="186">
        <v>256</v>
      </c>
      <c r="U51" s="180" t="s">
        <v>537</v>
      </c>
    </row>
    <row r="52" spans="1:21" s="189" customFormat="1" ht="25.5" customHeight="1">
      <c r="A52" s="674">
        <v>11</v>
      </c>
      <c r="B52" s="675" t="s">
        <v>363</v>
      </c>
      <c r="C52" s="179" t="s">
        <v>527</v>
      </c>
      <c r="D52" s="179" t="s">
        <v>527</v>
      </c>
      <c r="E52" s="179" t="s">
        <v>527</v>
      </c>
      <c r="F52" s="179"/>
      <c r="G52" s="179"/>
      <c r="H52" s="179" t="s">
        <v>527</v>
      </c>
      <c r="I52" s="179" t="s">
        <v>527</v>
      </c>
      <c r="J52" s="179" t="s">
        <v>527</v>
      </c>
      <c r="K52" s="179" t="s">
        <v>527</v>
      </c>
      <c r="L52" s="183">
        <f>N52/'[1]1'!$K$26</f>
        <v>0.8273504273504273</v>
      </c>
      <c r="M52" s="179">
        <f>N52-'[1]1'!$K$26</f>
        <v>-101</v>
      </c>
      <c r="N52" s="171">
        <f t="shared" si="9"/>
        <v>484</v>
      </c>
      <c r="O52" s="186">
        <v>161</v>
      </c>
      <c r="P52" s="184">
        <f t="shared" si="10"/>
        <v>161.5</v>
      </c>
      <c r="Q52" s="171">
        <f t="shared" si="11"/>
        <v>323</v>
      </c>
      <c r="R52" s="186">
        <v>22</v>
      </c>
      <c r="S52" s="186">
        <v>23</v>
      </c>
      <c r="T52" s="186">
        <v>278</v>
      </c>
      <c r="U52" s="180"/>
    </row>
    <row r="53" spans="1:21" s="185" customFormat="1" ht="25.5" customHeight="1">
      <c r="A53" s="674">
        <v>12</v>
      </c>
      <c r="B53" s="675" t="s">
        <v>364</v>
      </c>
      <c r="C53" s="179" t="s">
        <v>527</v>
      </c>
      <c r="D53" s="179" t="s">
        <v>527</v>
      </c>
      <c r="E53" s="179" t="s">
        <v>527</v>
      </c>
      <c r="F53" s="179"/>
      <c r="G53" s="179"/>
      <c r="H53" s="179" t="s">
        <v>527</v>
      </c>
      <c r="I53" s="179" t="s">
        <v>527</v>
      </c>
      <c r="J53" s="179" t="s">
        <v>527</v>
      </c>
      <c r="K53" s="179" t="s">
        <v>527</v>
      </c>
      <c r="L53" s="183">
        <f>N53/'[1]1'!$K$27</f>
        <v>1.2460567823343849</v>
      </c>
      <c r="M53" s="179">
        <f>N53-'[1]1'!$K$27</f>
        <v>78</v>
      </c>
      <c r="N53" s="171">
        <f t="shared" si="9"/>
        <v>395</v>
      </c>
      <c r="O53" s="186">
        <v>132</v>
      </c>
      <c r="P53" s="184">
        <f t="shared" si="10"/>
        <v>131.5</v>
      </c>
      <c r="Q53" s="171">
        <f t="shared" si="11"/>
        <v>263</v>
      </c>
      <c r="R53" s="186">
        <v>11</v>
      </c>
      <c r="S53" s="186">
        <v>20</v>
      </c>
      <c r="T53" s="186">
        <v>232</v>
      </c>
      <c r="U53" s="180"/>
    </row>
    <row r="54" spans="1:21" s="185" customFormat="1" ht="25.5" customHeight="1">
      <c r="A54" s="674">
        <v>13</v>
      </c>
      <c r="B54" s="675" t="s">
        <v>365</v>
      </c>
      <c r="C54" s="179" t="s">
        <v>527</v>
      </c>
      <c r="D54" s="179" t="s">
        <v>527</v>
      </c>
      <c r="E54" s="179" t="s">
        <v>527</v>
      </c>
      <c r="F54" s="179"/>
      <c r="G54" s="179"/>
      <c r="H54" s="179" t="s">
        <v>527</v>
      </c>
      <c r="I54" s="179" t="s">
        <v>527</v>
      </c>
      <c r="J54" s="179" t="s">
        <v>527</v>
      </c>
      <c r="K54" s="179" t="s">
        <v>527</v>
      </c>
      <c r="L54" s="183">
        <f>N54/'[1]1'!$K$28</f>
        <v>0.8676470588235294</v>
      </c>
      <c r="M54" s="179">
        <f>N54-'[1]1'!$K$28</f>
        <v>-9</v>
      </c>
      <c r="N54" s="171">
        <f t="shared" si="9"/>
        <v>59</v>
      </c>
      <c r="O54" s="190">
        <v>20</v>
      </c>
      <c r="P54" s="184">
        <f t="shared" si="10"/>
        <v>19.5</v>
      </c>
      <c r="Q54" s="171">
        <f t="shared" si="11"/>
        <v>39</v>
      </c>
      <c r="R54" s="186">
        <v>6</v>
      </c>
      <c r="S54" s="186">
        <v>3</v>
      </c>
      <c r="T54" s="186">
        <v>30</v>
      </c>
      <c r="U54" s="180"/>
    </row>
    <row r="55" spans="1:20" s="180" customFormat="1" ht="25.5" customHeight="1">
      <c r="A55" s="674">
        <v>14</v>
      </c>
      <c r="B55" s="675" t="s">
        <v>366</v>
      </c>
      <c r="C55" s="179" t="s">
        <v>527</v>
      </c>
      <c r="D55" s="179" t="s">
        <v>527</v>
      </c>
      <c r="E55" s="179" t="s">
        <v>527</v>
      </c>
      <c r="F55" s="179"/>
      <c r="G55" s="179"/>
      <c r="H55" s="179" t="s">
        <v>527</v>
      </c>
      <c r="I55" s="179" t="s">
        <v>527</v>
      </c>
      <c r="J55" s="179" t="s">
        <v>527</v>
      </c>
      <c r="K55" s="179" t="s">
        <v>527</v>
      </c>
      <c r="L55" s="183">
        <f>N55/'[1]1'!$K$29</f>
        <v>1.8181818181818181</v>
      </c>
      <c r="M55" s="179">
        <f>N55-'[1]1'!$K$29</f>
        <v>45</v>
      </c>
      <c r="N55" s="171">
        <f t="shared" si="9"/>
        <v>100</v>
      </c>
      <c r="O55" s="186">
        <v>25</v>
      </c>
      <c r="P55" s="184">
        <f t="shared" si="10"/>
        <v>37.5</v>
      </c>
      <c r="Q55" s="171">
        <f t="shared" si="11"/>
        <v>75</v>
      </c>
      <c r="R55" s="186">
        <v>20</v>
      </c>
      <c r="S55" s="186">
        <v>40</v>
      </c>
      <c r="T55" s="186">
        <v>15</v>
      </c>
    </row>
    <row r="56" spans="1:21" s="189" customFormat="1" ht="25.5" customHeight="1">
      <c r="A56" s="674">
        <v>15</v>
      </c>
      <c r="B56" s="675" t="s">
        <v>367</v>
      </c>
      <c r="C56" s="179" t="s">
        <v>527</v>
      </c>
      <c r="D56" s="179" t="s">
        <v>527</v>
      </c>
      <c r="E56" s="179" t="s">
        <v>527</v>
      </c>
      <c r="F56" s="179"/>
      <c r="G56" s="179"/>
      <c r="H56" s="179" t="s">
        <v>527</v>
      </c>
      <c r="I56" s="179" t="s">
        <v>527</v>
      </c>
      <c r="J56" s="179" t="s">
        <v>527</v>
      </c>
      <c r="K56" s="179" t="s">
        <v>527</v>
      </c>
      <c r="L56" s="183">
        <f>N56/'[1]1'!$K$30</f>
        <v>0.3088235294117647</v>
      </c>
      <c r="M56" s="179">
        <f>N56-'[1]1'!$K$30</f>
        <v>-47</v>
      </c>
      <c r="N56" s="187">
        <f t="shared" si="9"/>
        <v>21</v>
      </c>
      <c r="O56" s="186">
        <v>5</v>
      </c>
      <c r="P56" s="184">
        <f t="shared" si="10"/>
        <v>8</v>
      </c>
      <c r="Q56" s="187">
        <f t="shared" si="11"/>
        <v>16</v>
      </c>
      <c r="R56" s="186">
        <v>16</v>
      </c>
      <c r="S56" s="186"/>
      <c r="T56" s="186"/>
      <c r="U56" s="180" t="s">
        <v>538</v>
      </c>
    </row>
    <row r="57" spans="1:21" s="185" customFormat="1" ht="25.5" customHeight="1">
      <c r="A57" s="674">
        <v>16</v>
      </c>
      <c r="B57" s="675" t="s">
        <v>368</v>
      </c>
      <c r="C57" s="179" t="s">
        <v>527</v>
      </c>
      <c r="D57" s="179" t="s">
        <v>527</v>
      </c>
      <c r="E57" s="179" t="s">
        <v>527</v>
      </c>
      <c r="F57" s="179"/>
      <c r="G57" s="179"/>
      <c r="H57" s="179" t="s">
        <v>527</v>
      </c>
      <c r="I57" s="179" t="s">
        <v>527</v>
      </c>
      <c r="J57" s="179" t="s">
        <v>527</v>
      </c>
      <c r="K57" s="179" t="s">
        <v>527</v>
      </c>
      <c r="L57" s="183">
        <f>N57/'[1]1'!$K$31</f>
        <v>0.27647058823529413</v>
      </c>
      <c r="M57" s="179">
        <f>N57-'[1]1'!$K$31</f>
        <v>-123</v>
      </c>
      <c r="N57" s="171">
        <f t="shared" si="9"/>
        <v>47</v>
      </c>
      <c r="O57" s="186">
        <v>16</v>
      </c>
      <c r="P57" s="184">
        <f t="shared" si="10"/>
        <v>15.5</v>
      </c>
      <c r="Q57" s="171">
        <f t="shared" si="11"/>
        <v>31</v>
      </c>
      <c r="R57" s="186">
        <v>16</v>
      </c>
      <c r="S57" s="186">
        <v>4</v>
      </c>
      <c r="T57" s="186">
        <v>11</v>
      </c>
      <c r="U57" s="180"/>
    </row>
    <row r="58" spans="1:21" s="185" customFormat="1" ht="25.5" customHeight="1">
      <c r="A58" s="674">
        <v>17</v>
      </c>
      <c r="B58" s="675" t="s">
        <v>369</v>
      </c>
      <c r="C58" s="179" t="s">
        <v>527</v>
      </c>
      <c r="D58" s="179" t="s">
        <v>527</v>
      </c>
      <c r="E58" s="179" t="s">
        <v>527</v>
      </c>
      <c r="F58" s="179"/>
      <c r="G58" s="179"/>
      <c r="H58" s="179" t="s">
        <v>527</v>
      </c>
      <c r="I58" s="179" t="s">
        <v>527</v>
      </c>
      <c r="J58" s="179" t="s">
        <v>527</v>
      </c>
      <c r="K58" s="179" t="s">
        <v>527</v>
      </c>
      <c r="L58" s="183">
        <f>N58/'[1]1'!$K$32</f>
        <v>1.2523076923076923</v>
      </c>
      <c r="M58" s="179">
        <f>N58-'[1]1'!$K$32</f>
        <v>82</v>
      </c>
      <c r="N58" s="171">
        <f t="shared" si="9"/>
        <v>407</v>
      </c>
      <c r="O58" s="186">
        <v>110</v>
      </c>
      <c r="P58" s="184">
        <f t="shared" si="10"/>
        <v>148.5</v>
      </c>
      <c r="Q58" s="171">
        <f t="shared" si="11"/>
        <v>297</v>
      </c>
      <c r="R58" s="186">
        <v>9</v>
      </c>
      <c r="S58" s="186">
        <v>74</v>
      </c>
      <c r="T58" s="186">
        <v>214</v>
      </c>
      <c r="U58" s="180"/>
    </row>
    <row r="59" spans="1:21" s="189" customFormat="1" ht="25.5" customHeight="1">
      <c r="A59" s="674">
        <v>18</v>
      </c>
      <c r="B59" s="675" t="s">
        <v>370</v>
      </c>
      <c r="C59" s="179" t="s">
        <v>527</v>
      </c>
      <c r="D59" s="179" t="s">
        <v>527</v>
      </c>
      <c r="E59" s="179" t="s">
        <v>527</v>
      </c>
      <c r="F59" s="179"/>
      <c r="G59" s="179"/>
      <c r="H59" s="179" t="s">
        <v>527</v>
      </c>
      <c r="I59" s="179" t="s">
        <v>527</v>
      </c>
      <c r="J59" s="179" t="s">
        <v>527</v>
      </c>
      <c r="K59" s="179" t="s">
        <v>527</v>
      </c>
      <c r="L59" s="183">
        <f>N59/'[1]1'!$K$33</f>
        <v>1.3098591549295775</v>
      </c>
      <c r="M59" s="179">
        <f>N59-'[1]1'!$K$33</f>
        <v>66</v>
      </c>
      <c r="N59" s="171">
        <f t="shared" si="9"/>
        <v>279</v>
      </c>
      <c r="O59" s="186">
        <v>93</v>
      </c>
      <c r="P59" s="184">
        <f t="shared" si="10"/>
        <v>93</v>
      </c>
      <c r="Q59" s="171">
        <f t="shared" si="11"/>
        <v>186</v>
      </c>
      <c r="R59" s="186">
        <v>17</v>
      </c>
      <c r="S59" s="186">
        <v>18</v>
      </c>
      <c r="T59" s="186">
        <v>151</v>
      </c>
      <c r="U59" s="180"/>
    </row>
    <row r="60" spans="1:21" s="185" customFormat="1" ht="25.5" customHeight="1">
      <c r="A60" s="674">
        <v>19</v>
      </c>
      <c r="B60" s="675" t="s">
        <v>371</v>
      </c>
      <c r="C60" s="179" t="s">
        <v>527</v>
      </c>
      <c r="D60" s="179" t="s">
        <v>527</v>
      </c>
      <c r="E60" s="179" t="s">
        <v>527</v>
      </c>
      <c r="F60" s="179"/>
      <c r="G60" s="179"/>
      <c r="H60" s="179" t="s">
        <v>527</v>
      </c>
      <c r="I60" s="179" t="s">
        <v>527</v>
      </c>
      <c r="J60" s="179" t="s">
        <v>527</v>
      </c>
      <c r="K60" s="179" t="s">
        <v>527</v>
      </c>
      <c r="L60" s="183">
        <f>N60/'[1]1'!$K$34</f>
        <v>1.2507987220447285</v>
      </c>
      <c r="M60" s="179">
        <f>N60-'[1]1'!$K$34</f>
        <v>157</v>
      </c>
      <c r="N60" s="171">
        <f t="shared" si="9"/>
        <v>783</v>
      </c>
      <c r="O60" s="186">
        <v>243</v>
      </c>
      <c r="P60" s="184">
        <f t="shared" si="10"/>
        <v>270</v>
      </c>
      <c r="Q60" s="171">
        <f t="shared" si="11"/>
        <v>540</v>
      </c>
      <c r="R60" s="186">
        <v>21</v>
      </c>
      <c r="S60" s="186">
        <v>41</v>
      </c>
      <c r="T60" s="186">
        <v>478</v>
      </c>
      <c r="U60" s="180"/>
    </row>
    <row r="61" spans="1:21" s="185" customFormat="1" ht="25.5" customHeight="1">
      <c r="A61" s="674">
        <v>20</v>
      </c>
      <c r="B61" s="675" t="s">
        <v>372</v>
      </c>
      <c r="C61" s="179" t="s">
        <v>527</v>
      </c>
      <c r="D61" s="179" t="s">
        <v>527</v>
      </c>
      <c r="E61" s="179" t="s">
        <v>527</v>
      </c>
      <c r="F61" s="179"/>
      <c r="G61" s="179"/>
      <c r="H61" s="179" t="s">
        <v>527</v>
      </c>
      <c r="I61" s="179" t="s">
        <v>527</v>
      </c>
      <c r="J61" s="179" t="s">
        <v>527</v>
      </c>
      <c r="K61" s="179" t="s">
        <v>527</v>
      </c>
      <c r="L61" s="183">
        <f>N61/'[1]1'!$K$35</f>
        <v>1.5649038461538463</v>
      </c>
      <c r="M61" s="179">
        <f>N61-'[1]1'!$K$35</f>
        <v>235</v>
      </c>
      <c r="N61" s="171">
        <f t="shared" si="9"/>
        <v>651</v>
      </c>
      <c r="O61" s="186">
        <v>217</v>
      </c>
      <c r="P61" s="184">
        <f t="shared" si="10"/>
        <v>217</v>
      </c>
      <c r="Q61" s="171">
        <f t="shared" si="11"/>
        <v>434</v>
      </c>
      <c r="R61" s="186">
        <v>5</v>
      </c>
      <c r="S61" s="186">
        <v>28</v>
      </c>
      <c r="T61" s="186">
        <v>401</v>
      </c>
      <c r="U61" s="180"/>
    </row>
    <row r="62" spans="1:21" s="185" customFormat="1" ht="25.5" customHeight="1">
      <c r="A62" s="674">
        <v>21</v>
      </c>
      <c r="B62" s="675" t="s">
        <v>373</v>
      </c>
      <c r="C62" s="179" t="s">
        <v>527</v>
      </c>
      <c r="D62" s="179" t="s">
        <v>527</v>
      </c>
      <c r="E62" s="179" t="s">
        <v>527</v>
      </c>
      <c r="F62" s="179"/>
      <c r="G62" s="179"/>
      <c r="H62" s="179" t="s">
        <v>527</v>
      </c>
      <c r="I62" s="179" t="s">
        <v>527</v>
      </c>
      <c r="J62" s="179" t="s">
        <v>527</v>
      </c>
      <c r="K62" s="179" t="s">
        <v>527</v>
      </c>
      <c r="L62" s="183">
        <f>N62/'[1]1'!$K$36</f>
        <v>2.83125</v>
      </c>
      <c r="M62" s="179">
        <f>N62-'[1]1'!$K$36</f>
        <v>586</v>
      </c>
      <c r="N62" s="171">
        <f t="shared" si="9"/>
        <v>906</v>
      </c>
      <c r="O62" s="186">
        <v>302</v>
      </c>
      <c r="P62" s="184">
        <f t="shared" si="10"/>
        <v>302</v>
      </c>
      <c r="Q62" s="171">
        <f t="shared" si="11"/>
        <v>604</v>
      </c>
      <c r="R62" s="186">
        <v>5</v>
      </c>
      <c r="S62" s="186">
        <v>36</v>
      </c>
      <c r="T62" s="186">
        <v>563</v>
      </c>
      <c r="U62" s="180"/>
    </row>
    <row r="63" spans="1:21" s="185" customFormat="1" ht="25.5" customHeight="1">
      <c r="A63" s="674">
        <v>22</v>
      </c>
      <c r="B63" s="675" t="s">
        <v>374</v>
      </c>
      <c r="C63" s="179" t="s">
        <v>527</v>
      </c>
      <c r="D63" s="179" t="s">
        <v>527</v>
      </c>
      <c r="E63" s="179" t="s">
        <v>527</v>
      </c>
      <c r="F63" s="179"/>
      <c r="G63" s="179"/>
      <c r="H63" s="179" t="s">
        <v>527</v>
      </c>
      <c r="I63" s="179" t="s">
        <v>527</v>
      </c>
      <c r="J63" s="179" t="s">
        <v>527</v>
      </c>
      <c r="K63" s="179" t="s">
        <v>527</v>
      </c>
      <c r="L63" s="183">
        <f>N63/'[1]1'!$K$37</f>
        <v>1.4285714285714286</v>
      </c>
      <c r="M63" s="179">
        <f>N63-'[1]1'!$K$37</f>
        <v>6</v>
      </c>
      <c r="N63" s="171">
        <f t="shared" si="9"/>
        <v>20</v>
      </c>
      <c r="O63" s="186">
        <v>9</v>
      </c>
      <c r="P63" s="184">
        <f t="shared" si="10"/>
        <v>5.5</v>
      </c>
      <c r="Q63" s="171">
        <f t="shared" si="11"/>
        <v>11</v>
      </c>
      <c r="R63" s="186">
        <v>0</v>
      </c>
      <c r="S63" s="186">
        <v>5</v>
      </c>
      <c r="T63" s="186">
        <v>6</v>
      </c>
      <c r="U63" s="180"/>
    </row>
    <row r="64" spans="1:21" s="189" customFormat="1" ht="25.5" customHeight="1">
      <c r="A64" s="674">
        <v>23</v>
      </c>
      <c r="B64" s="675" t="s">
        <v>375</v>
      </c>
      <c r="C64" s="179" t="s">
        <v>527</v>
      </c>
      <c r="D64" s="179" t="s">
        <v>527</v>
      </c>
      <c r="E64" s="179" t="s">
        <v>527</v>
      </c>
      <c r="F64" s="179"/>
      <c r="G64" s="179"/>
      <c r="H64" s="179" t="s">
        <v>527</v>
      </c>
      <c r="I64" s="179" t="s">
        <v>527</v>
      </c>
      <c r="J64" s="179" t="s">
        <v>527</v>
      </c>
      <c r="K64" s="179" t="s">
        <v>527</v>
      </c>
      <c r="L64" s="183">
        <f>N64/'[1]1'!$K$38</f>
        <v>0.8027522935779816</v>
      </c>
      <c r="M64" s="179">
        <f>N64-'[1]1'!$K$38</f>
        <v>-86</v>
      </c>
      <c r="N64" s="171">
        <f t="shared" si="9"/>
        <v>350</v>
      </c>
      <c r="O64" s="186">
        <v>120</v>
      </c>
      <c r="P64" s="184">
        <f t="shared" si="10"/>
        <v>115</v>
      </c>
      <c r="Q64" s="171">
        <f t="shared" si="11"/>
        <v>230</v>
      </c>
      <c r="R64" s="186">
        <v>29</v>
      </c>
      <c r="S64" s="186">
        <v>36</v>
      </c>
      <c r="T64" s="186">
        <v>165</v>
      </c>
      <c r="U64" s="180" t="s">
        <v>539</v>
      </c>
    </row>
    <row r="65" spans="1:21" s="185" customFormat="1" ht="25.5" customHeight="1">
      <c r="A65" s="674">
        <v>24</v>
      </c>
      <c r="B65" s="675" t="s">
        <v>376</v>
      </c>
      <c r="C65" s="179" t="s">
        <v>527</v>
      </c>
      <c r="D65" s="179" t="s">
        <v>527</v>
      </c>
      <c r="E65" s="179" t="s">
        <v>527</v>
      </c>
      <c r="F65" s="179"/>
      <c r="G65" s="179"/>
      <c r="H65" s="179" t="s">
        <v>527</v>
      </c>
      <c r="I65" s="179" t="s">
        <v>527</v>
      </c>
      <c r="J65" s="179" t="s">
        <v>527</v>
      </c>
      <c r="K65" s="179" t="s">
        <v>527</v>
      </c>
      <c r="L65" s="183">
        <f>N65/'[1]1'!$K$39</f>
        <v>1.0363128491620113</v>
      </c>
      <c r="M65" s="179">
        <f>N65-'[1]1'!$K$39</f>
        <v>26</v>
      </c>
      <c r="N65" s="171">
        <f t="shared" si="9"/>
        <v>742</v>
      </c>
      <c r="O65" s="186">
        <v>247</v>
      </c>
      <c r="P65" s="184">
        <f t="shared" si="10"/>
        <v>247.5</v>
      </c>
      <c r="Q65" s="171">
        <f t="shared" si="11"/>
        <v>495</v>
      </c>
      <c r="R65" s="186">
        <v>20</v>
      </c>
      <c r="S65" s="186">
        <v>79</v>
      </c>
      <c r="T65" s="186">
        <v>396</v>
      </c>
      <c r="U65" s="180"/>
    </row>
    <row r="66" spans="1:21" s="185" customFormat="1" ht="25.5" customHeight="1">
      <c r="A66" s="674">
        <v>25</v>
      </c>
      <c r="B66" s="675" t="s">
        <v>377</v>
      </c>
      <c r="C66" s="179" t="s">
        <v>527</v>
      </c>
      <c r="D66" s="179" t="s">
        <v>527</v>
      </c>
      <c r="E66" s="179" t="s">
        <v>527</v>
      </c>
      <c r="F66" s="179"/>
      <c r="G66" s="179"/>
      <c r="H66" s="179" t="s">
        <v>527</v>
      </c>
      <c r="I66" s="179" t="s">
        <v>527</v>
      </c>
      <c r="J66" s="179" t="s">
        <v>527</v>
      </c>
      <c r="K66" s="179" t="s">
        <v>527</v>
      </c>
      <c r="L66" s="183">
        <f>N66/'[1]1'!$K$40</f>
        <v>1.319484240687679</v>
      </c>
      <c r="M66" s="179">
        <f>N66-'[1]1'!$K$40</f>
        <v>223</v>
      </c>
      <c r="N66" s="171">
        <f t="shared" si="9"/>
        <v>921</v>
      </c>
      <c r="O66" s="186">
        <v>307</v>
      </c>
      <c r="P66" s="184">
        <f t="shared" si="10"/>
        <v>307</v>
      </c>
      <c r="Q66" s="171">
        <f t="shared" si="11"/>
        <v>614</v>
      </c>
      <c r="R66" s="186">
        <v>28</v>
      </c>
      <c r="S66" s="186">
        <v>36</v>
      </c>
      <c r="T66" s="186">
        <v>550</v>
      </c>
      <c r="U66" s="180"/>
    </row>
    <row r="67" spans="1:21" s="185" customFormat="1" ht="25.5" customHeight="1">
      <c r="A67" s="674">
        <v>26</v>
      </c>
      <c r="B67" s="675" t="s">
        <v>378</v>
      </c>
      <c r="C67" s="179" t="s">
        <v>527</v>
      </c>
      <c r="D67" s="179" t="s">
        <v>527</v>
      </c>
      <c r="E67" s="179" t="s">
        <v>527</v>
      </c>
      <c r="F67" s="179"/>
      <c r="G67" s="179"/>
      <c r="H67" s="179" t="s">
        <v>527</v>
      </c>
      <c r="I67" s="179" t="s">
        <v>527</v>
      </c>
      <c r="J67" s="179" t="s">
        <v>527</v>
      </c>
      <c r="K67" s="179" t="s">
        <v>527</v>
      </c>
      <c r="L67" s="183">
        <f>N67/'[1]1'!$K$41</f>
        <v>1.9834254143646408</v>
      </c>
      <c r="M67" s="179">
        <f>N67-'[1]1'!$K$41</f>
        <v>712</v>
      </c>
      <c r="N67" s="171">
        <f t="shared" si="9"/>
        <v>1436</v>
      </c>
      <c r="O67" s="190">
        <v>479</v>
      </c>
      <c r="P67" s="184">
        <f t="shared" si="10"/>
        <v>478.5</v>
      </c>
      <c r="Q67" s="171">
        <f t="shared" si="11"/>
        <v>957</v>
      </c>
      <c r="R67" s="186">
        <v>12</v>
      </c>
      <c r="S67" s="186">
        <v>42</v>
      </c>
      <c r="T67" s="186">
        <v>903</v>
      </c>
      <c r="U67" s="180"/>
    </row>
    <row r="68" spans="1:21" s="185" customFormat="1" ht="25.5" customHeight="1">
      <c r="A68" s="674">
        <v>27</v>
      </c>
      <c r="B68" s="675" t="s">
        <v>379</v>
      </c>
      <c r="C68" s="179" t="s">
        <v>527</v>
      </c>
      <c r="D68" s="179" t="s">
        <v>527</v>
      </c>
      <c r="E68" s="179" t="s">
        <v>527</v>
      </c>
      <c r="F68" s="179"/>
      <c r="G68" s="179"/>
      <c r="H68" s="179" t="s">
        <v>527</v>
      </c>
      <c r="I68" s="179" t="s">
        <v>527</v>
      </c>
      <c r="J68" s="179" t="s">
        <v>527</v>
      </c>
      <c r="K68" s="179" t="s">
        <v>527</v>
      </c>
      <c r="L68" s="183">
        <f>N68/'[1]1'!$K$42</f>
        <v>1.3579545454545454</v>
      </c>
      <c r="M68" s="179">
        <f>N68-'[1]1'!$K$42</f>
        <v>126</v>
      </c>
      <c r="N68" s="171">
        <f t="shared" si="9"/>
        <v>478</v>
      </c>
      <c r="O68" s="186">
        <v>129</v>
      </c>
      <c r="P68" s="184">
        <f t="shared" si="10"/>
        <v>174.5</v>
      </c>
      <c r="Q68" s="171">
        <f t="shared" si="11"/>
        <v>349</v>
      </c>
      <c r="R68" s="186">
        <v>16</v>
      </c>
      <c r="S68" s="186">
        <v>10</v>
      </c>
      <c r="T68" s="186">
        <v>323</v>
      </c>
      <c r="U68" s="180"/>
    </row>
    <row r="69" spans="1:21" s="185" customFormat="1" ht="25.5" customHeight="1">
      <c r="A69" s="674">
        <v>28</v>
      </c>
      <c r="B69" s="675" t="s">
        <v>380</v>
      </c>
      <c r="C69" s="179" t="s">
        <v>527</v>
      </c>
      <c r="D69" s="179" t="s">
        <v>527</v>
      </c>
      <c r="E69" s="179" t="s">
        <v>527</v>
      </c>
      <c r="F69" s="179"/>
      <c r="G69" s="179"/>
      <c r="H69" s="179" t="s">
        <v>527</v>
      </c>
      <c r="I69" s="179" t="s">
        <v>527</v>
      </c>
      <c r="J69" s="179" t="s">
        <v>527</v>
      </c>
      <c r="K69" s="179" t="s">
        <v>527</v>
      </c>
      <c r="L69" s="183">
        <f>N69/'[1]1'!$K$43</f>
        <v>0.42990654205607476</v>
      </c>
      <c r="M69" s="179">
        <f>N69-'[1]1'!$K$43</f>
        <v>-183</v>
      </c>
      <c r="N69" s="171">
        <f t="shared" si="9"/>
        <v>138</v>
      </c>
      <c r="O69" s="186">
        <v>27</v>
      </c>
      <c r="P69" s="184">
        <f t="shared" si="10"/>
        <v>55.5</v>
      </c>
      <c r="Q69" s="188">
        <f t="shared" si="11"/>
        <v>111</v>
      </c>
      <c r="R69" s="186">
        <v>10</v>
      </c>
      <c r="S69" s="186">
        <v>11</v>
      </c>
      <c r="T69" s="186">
        <v>90</v>
      </c>
      <c r="U69" s="180" t="s">
        <v>540</v>
      </c>
    </row>
    <row r="70" spans="1:21" s="185" customFormat="1" ht="25.5" customHeight="1">
      <c r="A70" s="674">
        <v>29</v>
      </c>
      <c r="B70" s="675" t="s">
        <v>541</v>
      </c>
      <c r="C70" s="179" t="s">
        <v>527</v>
      </c>
      <c r="D70" s="179" t="s">
        <v>527</v>
      </c>
      <c r="E70" s="179" t="s">
        <v>527</v>
      </c>
      <c r="F70" s="179"/>
      <c r="G70" s="179"/>
      <c r="H70" s="179" t="s">
        <v>527</v>
      </c>
      <c r="I70" s="179" t="s">
        <v>527</v>
      </c>
      <c r="J70" s="179" t="s">
        <v>527</v>
      </c>
      <c r="K70" s="179" t="s">
        <v>527</v>
      </c>
      <c r="L70" s="183">
        <f>N70/'[1]1'!$K$44</f>
        <v>0.9722814498933902</v>
      </c>
      <c r="M70" s="179">
        <f>N70-'[1]1'!$K$44</f>
        <v>-13</v>
      </c>
      <c r="N70" s="171">
        <f t="shared" si="9"/>
        <v>456</v>
      </c>
      <c r="O70" s="186">
        <v>152</v>
      </c>
      <c r="P70" s="184">
        <f t="shared" si="10"/>
        <v>152</v>
      </c>
      <c r="Q70" s="171">
        <f t="shared" si="11"/>
        <v>304</v>
      </c>
      <c r="R70" s="186">
        <v>0</v>
      </c>
      <c r="S70" s="186">
        <v>24</v>
      </c>
      <c r="T70" s="186">
        <v>280</v>
      </c>
      <c r="U70" s="180"/>
    </row>
    <row r="71" spans="1:21" s="189" customFormat="1" ht="25.5" customHeight="1">
      <c r="A71" s="674">
        <v>30</v>
      </c>
      <c r="B71" s="675" t="s">
        <v>382</v>
      </c>
      <c r="C71" s="179" t="s">
        <v>527</v>
      </c>
      <c r="D71" s="179" t="s">
        <v>527</v>
      </c>
      <c r="E71" s="179" t="s">
        <v>527</v>
      </c>
      <c r="F71" s="179"/>
      <c r="G71" s="179"/>
      <c r="H71" s="179" t="s">
        <v>527</v>
      </c>
      <c r="I71" s="179" t="s">
        <v>527</v>
      </c>
      <c r="J71" s="179" t="s">
        <v>527</v>
      </c>
      <c r="K71" s="179" t="s">
        <v>527</v>
      </c>
      <c r="L71" s="183">
        <f>N71/'[1]1'!$K$45</f>
        <v>0.5249088699878494</v>
      </c>
      <c r="M71" s="179">
        <f>N71-'[1]1'!$K$45</f>
        <v>-391</v>
      </c>
      <c r="N71" s="171">
        <f t="shared" si="9"/>
        <v>432</v>
      </c>
      <c r="O71" s="186">
        <v>144</v>
      </c>
      <c r="P71" s="184">
        <f t="shared" si="10"/>
        <v>144</v>
      </c>
      <c r="Q71" s="171">
        <f t="shared" si="11"/>
        <v>288</v>
      </c>
      <c r="R71" s="186">
        <v>15</v>
      </c>
      <c r="S71" s="186">
        <v>16</v>
      </c>
      <c r="T71" s="186">
        <v>257</v>
      </c>
      <c r="U71" s="180"/>
    </row>
    <row r="72" spans="1:21" s="185" customFormat="1" ht="25.5" customHeight="1">
      <c r="A72" s="674">
        <v>31</v>
      </c>
      <c r="B72" s="675" t="s">
        <v>542</v>
      </c>
      <c r="C72" s="179" t="s">
        <v>527</v>
      </c>
      <c r="D72" s="179" t="s">
        <v>527</v>
      </c>
      <c r="E72" s="179" t="s">
        <v>527</v>
      </c>
      <c r="F72" s="179"/>
      <c r="G72" s="179"/>
      <c r="H72" s="179" t="s">
        <v>527</v>
      </c>
      <c r="I72" s="179" t="s">
        <v>527</v>
      </c>
      <c r="J72" s="179" t="s">
        <v>527</v>
      </c>
      <c r="K72" s="179" t="s">
        <v>527</v>
      </c>
      <c r="L72" s="183">
        <f>N72/'[1]1'!$K$46</f>
        <v>0.2641509433962264</v>
      </c>
      <c r="M72" s="179">
        <f>N72-'[1]1'!$K$46</f>
        <v>-117</v>
      </c>
      <c r="N72" s="171">
        <f t="shared" si="9"/>
        <v>42</v>
      </c>
      <c r="O72" s="186">
        <v>14</v>
      </c>
      <c r="P72" s="184">
        <f t="shared" si="10"/>
        <v>14</v>
      </c>
      <c r="Q72" s="171">
        <f t="shared" si="11"/>
        <v>28</v>
      </c>
      <c r="R72" s="186">
        <v>14</v>
      </c>
      <c r="S72" s="186">
        <v>3</v>
      </c>
      <c r="T72" s="186">
        <v>11</v>
      </c>
      <c r="U72" s="180"/>
    </row>
    <row r="73" spans="1:21" s="192" customFormat="1" ht="25.5" customHeight="1">
      <c r="A73" s="674">
        <v>32</v>
      </c>
      <c r="B73" s="675" t="s">
        <v>384</v>
      </c>
      <c r="C73" s="179" t="s">
        <v>527</v>
      </c>
      <c r="D73" s="179" t="s">
        <v>527</v>
      </c>
      <c r="E73" s="179" t="s">
        <v>527</v>
      </c>
      <c r="F73" s="179"/>
      <c r="G73" s="179"/>
      <c r="H73" s="179" t="s">
        <v>527</v>
      </c>
      <c r="I73" s="179" t="s">
        <v>527</v>
      </c>
      <c r="J73" s="179" t="s">
        <v>527</v>
      </c>
      <c r="K73" s="179" t="s">
        <v>527</v>
      </c>
      <c r="L73" s="183">
        <f>N73/'[1]1'!$K$47</f>
        <v>1.349785407725322</v>
      </c>
      <c r="M73" s="179">
        <f>N73-'[1]1'!$K$47</f>
        <v>163</v>
      </c>
      <c r="N73" s="171">
        <f t="shared" si="9"/>
        <v>629</v>
      </c>
      <c r="O73" s="186">
        <v>210</v>
      </c>
      <c r="P73" s="184">
        <f t="shared" si="10"/>
        <v>209.5</v>
      </c>
      <c r="Q73" s="171">
        <f t="shared" si="11"/>
        <v>419</v>
      </c>
      <c r="R73" s="186">
        <v>18</v>
      </c>
      <c r="S73" s="186">
        <v>13</v>
      </c>
      <c r="T73" s="186">
        <v>388</v>
      </c>
      <c r="U73" s="191"/>
    </row>
    <row r="74" spans="1:21" s="189" customFormat="1" ht="25.5" customHeight="1">
      <c r="A74" s="674">
        <v>33</v>
      </c>
      <c r="B74" s="675" t="s">
        <v>385</v>
      </c>
      <c r="C74" s="179" t="s">
        <v>527</v>
      </c>
      <c r="D74" s="179" t="s">
        <v>527</v>
      </c>
      <c r="E74" s="179" t="s">
        <v>527</v>
      </c>
      <c r="F74" s="179"/>
      <c r="G74" s="179"/>
      <c r="H74" s="179" t="s">
        <v>527</v>
      </c>
      <c r="I74" s="179" t="s">
        <v>527</v>
      </c>
      <c r="J74" s="179" t="s">
        <v>527</v>
      </c>
      <c r="K74" s="179" t="s">
        <v>527</v>
      </c>
      <c r="L74" s="183">
        <f>N74/'[1]1'!$K$48</f>
        <v>1.2972972972972974</v>
      </c>
      <c r="M74" s="179">
        <f>N74-'[1]1'!$K$48</f>
        <v>22</v>
      </c>
      <c r="N74" s="171">
        <f aca="true" t="shared" si="12" ref="N74:N104">O74+Q74</f>
        <v>96</v>
      </c>
      <c r="O74" s="186">
        <v>15</v>
      </c>
      <c r="P74" s="184">
        <f aca="true" t="shared" si="13" ref="P74:P104">(Q74/4)*2</f>
        <v>40.5</v>
      </c>
      <c r="Q74" s="171">
        <f aca="true" t="shared" si="14" ref="Q74:Q104">SUM(R74:T74)</f>
        <v>81</v>
      </c>
      <c r="R74" s="186">
        <v>34</v>
      </c>
      <c r="S74" s="186">
        <v>27</v>
      </c>
      <c r="T74" s="186">
        <v>20</v>
      </c>
      <c r="U74" s="180"/>
    </row>
    <row r="75" spans="1:21" s="181" customFormat="1" ht="25.5" customHeight="1">
      <c r="A75" s="674">
        <v>34</v>
      </c>
      <c r="B75" s="675" t="s">
        <v>386</v>
      </c>
      <c r="C75" s="179" t="s">
        <v>527</v>
      </c>
      <c r="D75" s="179" t="s">
        <v>527</v>
      </c>
      <c r="E75" s="179" t="s">
        <v>527</v>
      </c>
      <c r="F75" s="179"/>
      <c r="G75" s="179"/>
      <c r="H75" s="179" t="s">
        <v>527</v>
      </c>
      <c r="I75" s="179" t="s">
        <v>527</v>
      </c>
      <c r="J75" s="179" t="s">
        <v>527</v>
      </c>
      <c r="K75" s="179" t="s">
        <v>527</v>
      </c>
      <c r="L75" s="183">
        <f>N75/'[1]1'!$K$49</f>
        <v>2.9220779220779223</v>
      </c>
      <c r="M75" s="179">
        <f>N75-'[1]1'!$K$49</f>
        <v>444</v>
      </c>
      <c r="N75" s="171">
        <f t="shared" si="12"/>
        <v>675</v>
      </c>
      <c r="O75" s="186">
        <v>227</v>
      </c>
      <c r="P75" s="184">
        <f t="shared" si="13"/>
        <v>224</v>
      </c>
      <c r="Q75" s="171">
        <f t="shared" si="14"/>
        <v>448</v>
      </c>
      <c r="R75" s="186">
        <v>1</v>
      </c>
      <c r="S75" s="186">
        <v>14</v>
      </c>
      <c r="T75" s="186">
        <v>433</v>
      </c>
      <c r="U75" s="180"/>
    </row>
    <row r="76" spans="1:21" s="181" customFormat="1" ht="25.5" customHeight="1">
      <c r="A76" s="674">
        <v>35</v>
      </c>
      <c r="B76" s="675" t="s">
        <v>387</v>
      </c>
      <c r="C76" s="179" t="s">
        <v>527</v>
      </c>
      <c r="D76" s="179" t="s">
        <v>527</v>
      </c>
      <c r="E76" s="179" t="s">
        <v>527</v>
      </c>
      <c r="F76" s="179"/>
      <c r="G76" s="179"/>
      <c r="H76" s="179" t="s">
        <v>527</v>
      </c>
      <c r="I76" s="179" t="s">
        <v>527</v>
      </c>
      <c r="J76" s="179" t="s">
        <v>527</v>
      </c>
      <c r="K76" s="179" t="s">
        <v>527</v>
      </c>
      <c r="L76" s="183">
        <f>N76/'[1]1'!$K$50</f>
        <v>1.029598308668076</v>
      </c>
      <c r="M76" s="179">
        <f>N76-'[1]1'!$K$50</f>
        <v>14</v>
      </c>
      <c r="N76" s="171">
        <f t="shared" si="12"/>
        <v>487</v>
      </c>
      <c r="O76" s="186">
        <v>164</v>
      </c>
      <c r="P76" s="184">
        <f t="shared" si="13"/>
        <v>161.5</v>
      </c>
      <c r="Q76" s="171">
        <f t="shared" si="14"/>
        <v>323</v>
      </c>
      <c r="R76" s="186">
        <v>24</v>
      </c>
      <c r="S76" s="186">
        <v>52</v>
      </c>
      <c r="T76" s="186">
        <v>247</v>
      </c>
      <c r="U76" s="180"/>
    </row>
    <row r="77" spans="1:21" s="181" customFormat="1" ht="25.5" customHeight="1">
      <c r="A77" s="674">
        <v>36</v>
      </c>
      <c r="B77" s="675" t="s">
        <v>388</v>
      </c>
      <c r="C77" s="179" t="s">
        <v>527</v>
      </c>
      <c r="D77" s="179" t="s">
        <v>527</v>
      </c>
      <c r="E77" s="179" t="s">
        <v>527</v>
      </c>
      <c r="F77" s="179"/>
      <c r="G77" s="179"/>
      <c r="H77" s="179" t="s">
        <v>527</v>
      </c>
      <c r="I77" s="179" t="s">
        <v>527</v>
      </c>
      <c r="J77" s="179" t="s">
        <v>527</v>
      </c>
      <c r="K77" s="179" t="s">
        <v>527</v>
      </c>
      <c r="L77" s="183">
        <f>N77/'[1]1'!$K$51</f>
        <v>0.8483754512635379</v>
      </c>
      <c r="M77" s="179">
        <f>N77-'[1]1'!$K$51</f>
        <v>-84</v>
      </c>
      <c r="N77" s="171">
        <f t="shared" si="12"/>
        <v>470</v>
      </c>
      <c r="O77" s="186">
        <v>160</v>
      </c>
      <c r="P77" s="184">
        <f t="shared" si="13"/>
        <v>155</v>
      </c>
      <c r="Q77" s="171">
        <f t="shared" si="14"/>
        <v>310</v>
      </c>
      <c r="R77" s="186">
        <v>5</v>
      </c>
      <c r="S77" s="186">
        <v>17</v>
      </c>
      <c r="T77" s="186">
        <v>288</v>
      </c>
      <c r="U77" s="180"/>
    </row>
    <row r="78" spans="1:21" s="181" customFormat="1" ht="25.5" customHeight="1">
      <c r="A78" s="674">
        <v>37</v>
      </c>
      <c r="B78" s="675" t="s">
        <v>389</v>
      </c>
      <c r="C78" s="179" t="s">
        <v>527</v>
      </c>
      <c r="D78" s="179" t="s">
        <v>527</v>
      </c>
      <c r="E78" s="179" t="s">
        <v>527</v>
      </c>
      <c r="F78" s="179"/>
      <c r="G78" s="179"/>
      <c r="H78" s="179" t="s">
        <v>527</v>
      </c>
      <c r="I78" s="179" t="s">
        <v>527</v>
      </c>
      <c r="J78" s="179" t="s">
        <v>527</v>
      </c>
      <c r="K78" s="179" t="s">
        <v>527</v>
      </c>
      <c r="L78" s="183">
        <f>N78/'[1]1'!$K$52</f>
        <v>13</v>
      </c>
      <c r="M78" s="179">
        <f>N78-'[1]1'!$K$52</f>
        <v>504</v>
      </c>
      <c r="N78" s="187">
        <f t="shared" si="12"/>
        <v>546</v>
      </c>
      <c r="O78" s="186">
        <v>186</v>
      </c>
      <c r="P78" s="184">
        <f t="shared" si="13"/>
        <v>180</v>
      </c>
      <c r="Q78" s="171">
        <f t="shared" si="14"/>
        <v>360</v>
      </c>
      <c r="R78" s="186">
        <v>11</v>
      </c>
      <c r="S78" s="186">
        <v>15</v>
      </c>
      <c r="T78" s="186">
        <v>334</v>
      </c>
      <c r="U78" s="180" t="s">
        <v>543</v>
      </c>
    </row>
    <row r="79" spans="1:21" s="181" customFormat="1" ht="25.5" customHeight="1">
      <c r="A79" s="674">
        <v>38</v>
      </c>
      <c r="B79" s="675" t="s">
        <v>390</v>
      </c>
      <c r="C79" s="179" t="s">
        <v>527</v>
      </c>
      <c r="D79" s="179" t="s">
        <v>527</v>
      </c>
      <c r="E79" s="179" t="s">
        <v>527</v>
      </c>
      <c r="F79" s="179"/>
      <c r="G79" s="179"/>
      <c r="H79" s="179" t="s">
        <v>527</v>
      </c>
      <c r="I79" s="179" t="s">
        <v>527</v>
      </c>
      <c r="J79" s="179" t="s">
        <v>527</v>
      </c>
      <c r="K79" s="179" t="s">
        <v>527</v>
      </c>
      <c r="L79" s="183">
        <f>N79/'[1]1'!$K$53</f>
        <v>1.452513966480447</v>
      </c>
      <c r="M79" s="179">
        <f>N79-'[1]1'!$K$53</f>
        <v>243</v>
      </c>
      <c r="N79" s="171">
        <f t="shared" si="12"/>
        <v>780</v>
      </c>
      <c r="O79" s="186">
        <v>260</v>
      </c>
      <c r="P79" s="184">
        <f t="shared" si="13"/>
        <v>260</v>
      </c>
      <c r="Q79" s="171">
        <f t="shared" si="14"/>
        <v>520</v>
      </c>
      <c r="R79" s="186">
        <v>28</v>
      </c>
      <c r="S79" s="186">
        <v>51</v>
      </c>
      <c r="T79" s="186">
        <v>441</v>
      </c>
      <c r="U79" s="180"/>
    </row>
    <row r="80" spans="1:21" s="181" customFormat="1" ht="25.5" customHeight="1">
      <c r="A80" s="674">
        <v>39</v>
      </c>
      <c r="B80" s="675" t="s">
        <v>391</v>
      </c>
      <c r="C80" s="179" t="s">
        <v>527</v>
      </c>
      <c r="D80" s="179" t="s">
        <v>527</v>
      </c>
      <c r="E80" s="179" t="s">
        <v>527</v>
      </c>
      <c r="F80" s="179"/>
      <c r="G80" s="179"/>
      <c r="H80" s="179" t="s">
        <v>527</v>
      </c>
      <c r="I80" s="179" t="s">
        <v>527</v>
      </c>
      <c r="J80" s="179" t="s">
        <v>527</v>
      </c>
      <c r="K80" s="179" t="s">
        <v>527</v>
      </c>
      <c r="L80" s="183">
        <f>N80/'[1]1'!$K$54</f>
        <v>0.6995192307692307</v>
      </c>
      <c r="M80" s="179">
        <f>N80-'[1]1'!$K$54</f>
        <v>-250</v>
      </c>
      <c r="N80" s="171">
        <f t="shared" si="12"/>
        <v>582</v>
      </c>
      <c r="O80" s="186">
        <v>194</v>
      </c>
      <c r="P80" s="184">
        <f t="shared" si="13"/>
        <v>194</v>
      </c>
      <c r="Q80" s="171">
        <f t="shared" si="14"/>
        <v>388</v>
      </c>
      <c r="R80" s="186">
        <v>10</v>
      </c>
      <c r="S80" s="186">
        <v>18</v>
      </c>
      <c r="T80" s="186">
        <v>360</v>
      </c>
      <c r="U80" s="180"/>
    </row>
    <row r="81" spans="1:21" s="181" customFormat="1" ht="54.75" customHeight="1">
      <c r="A81" s="674">
        <v>40</v>
      </c>
      <c r="B81" s="675" t="s">
        <v>392</v>
      </c>
      <c r="C81" s="179" t="s">
        <v>527</v>
      </c>
      <c r="D81" s="179" t="s">
        <v>527</v>
      </c>
      <c r="E81" s="179" t="s">
        <v>527</v>
      </c>
      <c r="F81" s="179"/>
      <c r="G81" s="179"/>
      <c r="H81" s="179" t="s">
        <v>527</v>
      </c>
      <c r="I81" s="179" t="s">
        <v>527</v>
      </c>
      <c r="J81" s="179" t="s">
        <v>527</v>
      </c>
      <c r="K81" s="179" t="s">
        <v>527</v>
      </c>
      <c r="L81" s="183">
        <f>N81/'[1]1'!$K$55</f>
        <v>1.2404138770541693</v>
      </c>
      <c r="M81" s="179">
        <f>N81-'[1]1'!$K$55</f>
        <v>790</v>
      </c>
      <c r="N81" s="171">
        <f t="shared" si="12"/>
        <v>4076</v>
      </c>
      <c r="O81" s="190">
        <v>1359</v>
      </c>
      <c r="P81" s="184">
        <f t="shared" si="13"/>
        <v>1358.5</v>
      </c>
      <c r="Q81" s="193">
        <f t="shared" si="14"/>
        <v>2717</v>
      </c>
      <c r="R81" s="186">
        <v>48</v>
      </c>
      <c r="S81" s="186">
        <v>251</v>
      </c>
      <c r="T81" s="186">
        <v>2418</v>
      </c>
      <c r="U81" s="180" t="s">
        <v>544</v>
      </c>
    </row>
    <row r="82" spans="1:21" s="181" customFormat="1" ht="25.5" customHeight="1">
      <c r="A82" s="674">
        <v>41</v>
      </c>
      <c r="B82" s="675" t="s">
        <v>545</v>
      </c>
      <c r="C82" s="179" t="s">
        <v>527</v>
      </c>
      <c r="D82" s="179" t="s">
        <v>527</v>
      </c>
      <c r="E82" s="179" t="s">
        <v>527</v>
      </c>
      <c r="F82" s="179"/>
      <c r="G82" s="179"/>
      <c r="H82" s="179" t="s">
        <v>527</v>
      </c>
      <c r="I82" s="179" t="s">
        <v>527</v>
      </c>
      <c r="J82" s="179" t="s">
        <v>527</v>
      </c>
      <c r="K82" s="179" t="s">
        <v>527</v>
      </c>
      <c r="L82" s="183">
        <f>N82/'[1]1'!$K$56</f>
        <v>2.525581395348837</v>
      </c>
      <c r="M82" s="179">
        <f>N82-'[1]1'!$K$56</f>
        <v>328</v>
      </c>
      <c r="N82" s="171">
        <f t="shared" si="12"/>
        <v>543</v>
      </c>
      <c r="O82" s="186">
        <v>181</v>
      </c>
      <c r="P82" s="184">
        <f t="shared" si="13"/>
        <v>181</v>
      </c>
      <c r="Q82" s="171">
        <f t="shared" si="14"/>
        <v>362</v>
      </c>
      <c r="R82" s="186">
        <v>32</v>
      </c>
      <c r="S82" s="186">
        <f>4+1+1+2+2</f>
        <v>10</v>
      </c>
      <c r="T82" s="186">
        <f>13+180+27+26+23+26+21+4</f>
        <v>320</v>
      </c>
      <c r="U82" s="180"/>
    </row>
    <row r="83" spans="1:21" s="181" customFormat="1" ht="25.5" customHeight="1">
      <c r="A83" s="674">
        <v>42</v>
      </c>
      <c r="B83" s="675" t="s">
        <v>394</v>
      </c>
      <c r="C83" s="179" t="s">
        <v>527</v>
      </c>
      <c r="D83" s="179" t="s">
        <v>527</v>
      </c>
      <c r="E83" s="179" t="s">
        <v>527</v>
      </c>
      <c r="F83" s="179"/>
      <c r="G83" s="179"/>
      <c r="H83" s="179" t="s">
        <v>527</v>
      </c>
      <c r="I83" s="179" t="s">
        <v>527</v>
      </c>
      <c r="J83" s="179" t="s">
        <v>527</v>
      </c>
      <c r="K83" s="179" t="s">
        <v>527</v>
      </c>
      <c r="L83" s="183">
        <f>N83/'[1]1'!$K$57</f>
        <v>1.8928571428571428</v>
      </c>
      <c r="M83" s="179">
        <f>N83-'[1]1'!$K$57</f>
        <v>100</v>
      </c>
      <c r="N83" s="171">
        <f t="shared" si="12"/>
        <v>212</v>
      </c>
      <c r="O83" s="186">
        <v>71</v>
      </c>
      <c r="P83" s="184">
        <f t="shared" si="13"/>
        <v>70.5</v>
      </c>
      <c r="Q83" s="171">
        <f t="shared" si="14"/>
        <v>141</v>
      </c>
      <c r="R83" s="186">
        <v>24</v>
      </c>
      <c r="S83" s="186">
        <v>9</v>
      </c>
      <c r="T83" s="186">
        <v>108</v>
      </c>
      <c r="U83" s="180"/>
    </row>
    <row r="84" spans="1:21" s="181" customFormat="1" ht="25.5" customHeight="1">
      <c r="A84" s="674">
        <v>43</v>
      </c>
      <c r="B84" s="675" t="s">
        <v>395</v>
      </c>
      <c r="C84" s="179" t="s">
        <v>527</v>
      </c>
      <c r="D84" s="179" t="s">
        <v>527</v>
      </c>
      <c r="E84" s="179" t="s">
        <v>527</v>
      </c>
      <c r="F84" s="179"/>
      <c r="G84" s="179"/>
      <c r="H84" s="179" t="s">
        <v>527</v>
      </c>
      <c r="I84" s="179" t="s">
        <v>527</v>
      </c>
      <c r="J84" s="179" t="s">
        <v>527</v>
      </c>
      <c r="K84" s="179" t="s">
        <v>527</v>
      </c>
      <c r="L84" s="183">
        <f>N84/'[1]1'!$K$58</f>
        <v>0.8823124569855472</v>
      </c>
      <c r="M84" s="179">
        <f>N84-'[1]1'!$K$58</f>
        <v>-171</v>
      </c>
      <c r="N84" s="171">
        <f t="shared" si="12"/>
        <v>1282</v>
      </c>
      <c r="O84" s="186">
        <v>427</v>
      </c>
      <c r="P84" s="184">
        <f t="shared" si="13"/>
        <v>427.5</v>
      </c>
      <c r="Q84" s="171">
        <f t="shared" si="14"/>
        <v>855</v>
      </c>
      <c r="R84" s="186">
        <v>9</v>
      </c>
      <c r="S84" s="186">
        <v>60</v>
      </c>
      <c r="T84" s="186">
        <v>786</v>
      </c>
      <c r="U84" s="180"/>
    </row>
    <row r="85" spans="1:21" s="181" customFormat="1" ht="25.5" customHeight="1">
      <c r="A85" s="674">
        <v>44</v>
      </c>
      <c r="B85" s="675" t="s">
        <v>396</v>
      </c>
      <c r="C85" s="179" t="s">
        <v>527</v>
      </c>
      <c r="D85" s="179" t="s">
        <v>527</v>
      </c>
      <c r="E85" s="179" t="s">
        <v>527</v>
      </c>
      <c r="F85" s="179"/>
      <c r="G85" s="179"/>
      <c r="H85" s="179" t="s">
        <v>527</v>
      </c>
      <c r="I85" s="179" t="s">
        <v>527</v>
      </c>
      <c r="J85" s="179" t="s">
        <v>527</v>
      </c>
      <c r="K85" s="179" t="s">
        <v>527</v>
      </c>
      <c r="L85" s="183">
        <f>N85/'[1]1'!$K$59</f>
        <v>1.0649350649350648</v>
      </c>
      <c r="M85" s="179">
        <f>N85-'[1]1'!$K$59</f>
        <v>10</v>
      </c>
      <c r="N85" s="171">
        <f t="shared" si="12"/>
        <v>164</v>
      </c>
      <c r="O85" s="186">
        <v>55</v>
      </c>
      <c r="P85" s="184">
        <f t="shared" si="13"/>
        <v>54.5</v>
      </c>
      <c r="Q85" s="171">
        <f t="shared" si="14"/>
        <v>109</v>
      </c>
      <c r="R85" s="186">
        <v>11</v>
      </c>
      <c r="S85" s="186">
        <v>5</v>
      </c>
      <c r="T85" s="186">
        <v>93</v>
      </c>
      <c r="U85" s="180"/>
    </row>
    <row r="86" spans="1:21" s="181" customFormat="1" ht="25.5" customHeight="1">
      <c r="A86" s="674">
        <v>45</v>
      </c>
      <c r="B86" s="675" t="s">
        <v>397</v>
      </c>
      <c r="C86" s="179" t="s">
        <v>527</v>
      </c>
      <c r="D86" s="179" t="s">
        <v>527</v>
      </c>
      <c r="E86" s="179" t="s">
        <v>527</v>
      </c>
      <c r="F86" s="179"/>
      <c r="G86" s="179"/>
      <c r="H86" s="179" t="s">
        <v>527</v>
      </c>
      <c r="I86" s="179" t="s">
        <v>527</v>
      </c>
      <c r="J86" s="179" t="s">
        <v>527</v>
      </c>
      <c r="K86" s="179" t="s">
        <v>527</v>
      </c>
      <c r="L86" s="183">
        <f>N86/'[1]1'!$K$60</f>
        <v>0.9703947368421053</v>
      </c>
      <c r="M86" s="179">
        <f>N86-'[1]1'!$K$60</f>
        <v>-27</v>
      </c>
      <c r="N86" s="171">
        <f t="shared" si="12"/>
        <v>885</v>
      </c>
      <c r="O86" s="186">
        <v>295</v>
      </c>
      <c r="P86" s="184">
        <f t="shared" si="13"/>
        <v>295</v>
      </c>
      <c r="Q86" s="171">
        <f t="shared" si="14"/>
        <v>590</v>
      </c>
      <c r="R86" s="186">
        <v>3</v>
      </c>
      <c r="S86" s="186">
        <v>23</v>
      </c>
      <c r="T86" s="186">
        <v>564</v>
      </c>
      <c r="U86" s="180"/>
    </row>
    <row r="87" spans="1:21" s="181" customFormat="1" ht="25.5" customHeight="1">
      <c r="A87" s="674">
        <v>46</v>
      </c>
      <c r="B87" s="675" t="s">
        <v>398</v>
      </c>
      <c r="C87" s="179" t="s">
        <v>527</v>
      </c>
      <c r="D87" s="179" t="s">
        <v>527</v>
      </c>
      <c r="E87" s="179" t="s">
        <v>527</v>
      </c>
      <c r="F87" s="179"/>
      <c r="G87" s="179"/>
      <c r="H87" s="179" t="s">
        <v>527</v>
      </c>
      <c r="I87" s="179" t="s">
        <v>527</v>
      </c>
      <c r="J87" s="179" t="s">
        <v>527</v>
      </c>
      <c r="K87" s="179" t="s">
        <v>527</v>
      </c>
      <c r="L87" s="183">
        <f>N87/'[1]1'!$K$61</f>
        <v>2.8116438356164384</v>
      </c>
      <c r="M87" s="179">
        <f>N87-'[1]1'!$K$61</f>
        <v>529</v>
      </c>
      <c r="N87" s="171">
        <f t="shared" si="12"/>
        <v>821</v>
      </c>
      <c r="O87" s="186">
        <v>274</v>
      </c>
      <c r="P87" s="184">
        <f t="shared" si="13"/>
        <v>273.5</v>
      </c>
      <c r="Q87" s="171">
        <f t="shared" si="14"/>
        <v>547</v>
      </c>
      <c r="R87" s="186">
        <v>10</v>
      </c>
      <c r="S87" s="186">
        <v>34</v>
      </c>
      <c r="T87" s="186">
        <v>503</v>
      </c>
      <c r="U87" s="180"/>
    </row>
    <row r="88" spans="1:21" s="181" customFormat="1" ht="25.5" customHeight="1">
      <c r="A88" s="674">
        <v>47</v>
      </c>
      <c r="B88" s="675" t="s">
        <v>399</v>
      </c>
      <c r="C88" s="179" t="s">
        <v>527</v>
      </c>
      <c r="D88" s="179" t="s">
        <v>527</v>
      </c>
      <c r="E88" s="179" t="s">
        <v>527</v>
      </c>
      <c r="F88" s="179"/>
      <c r="G88" s="179"/>
      <c r="H88" s="179" t="s">
        <v>527</v>
      </c>
      <c r="I88" s="179" t="s">
        <v>527</v>
      </c>
      <c r="J88" s="179" t="s">
        <v>527</v>
      </c>
      <c r="K88" s="179" t="s">
        <v>527</v>
      </c>
      <c r="L88" s="183">
        <f>N88/'[1]1'!$K$62</f>
        <v>1.5043478260869565</v>
      </c>
      <c r="M88" s="179">
        <f>N88-'[1]1'!$K$62</f>
        <v>174</v>
      </c>
      <c r="N88" s="171">
        <f t="shared" si="12"/>
        <v>519</v>
      </c>
      <c r="O88" s="186">
        <v>173</v>
      </c>
      <c r="P88" s="184">
        <f t="shared" si="13"/>
        <v>173</v>
      </c>
      <c r="Q88" s="171">
        <f t="shared" si="14"/>
        <v>346</v>
      </c>
      <c r="R88" s="186">
        <v>38</v>
      </c>
      <c r="S88" s="186">
        <v>37</v>
      </c>
      <c r="T88" s="186">
        <v>271</v>
      </c>
      <c r="U88" s="180"/>
    </row>
    <row r="89" spans="1:21" s="181" customFormat="1" ht="25.5" customHeight="1">
      <c r="A89" s="674">
        <v>48</v>
      </c>
      <c r="B89" s="675" t="s">
        <v>400</v>
      </c>
      <c r="C89" s="179" t="s">
        <v>527</v>
      </c>
      <c r="D89" s="179" t="s">
        <v>527</v>
      </c>
      <c r="E89" s="179" t="s">
        <v>527</v>
      </c>
      <c r="F89" s="179"/>
      <c r="G89" s="179"/>
      <c r="H89" s="179" t="s">
        <v>527</v>
      </c>
      <c r="I89" s="179" t="s">
        <v>527</v>
      </c>
      <c r="J89" s="179" t="s">
        <v>527</v>
      </c>
      <c r="K89" s="179" t="s">
        <v>527</v>
      </c>
      <c r="L89" s="183">
        <f>N89/'[1]1'!$K$63</f>
        <v>0.956858407079646</v>
      </c>
      <c r="M89" s="179">
        <f>N89-'[1]1'!$K$63</f>
        <v>-39</v>
      </c>
      <c r="N89" s="171">
        <f t="shared" si="12"/>
        <v>865</v>
      </c>
      <c r="O89" s="186">
        <v>216</v>
      </c>
      <c r="P89" s="184">
        <f t="shared" si="13"/>
        <v>324.5</v>
      </c>
      <c r="Q89" s="171">
        <f t="shared" si="14"/>
        <v>649</v>
      </c>
      <c r="R89" s="186">
        <v>17</v>
      </c>
      <c r="S89" s="186">
        <v>62</v>
      </c>
      <c r="T89" s="186">
        <v>570</v>
      </c>
      <c r="U89" s="180"/>
    </row>
    <row r="90" spans="1:21" s="181" customFormat="1" ht="25.5" customHeight="1">
      <c r="A90" s="674">
        <v>49</v>
      </c>
      <c r="B90" s="675" t="s">
        <v>401</v>
      </c>
      <c r="C90" s="179" t="s">
        <v>527</v>
      </c>
      <c r="D90" s="179" t="s">
        <v>527</v>
      </c>
      <c r="E90" s="179" t="s">
        <v>527</v>
      </c>
      <c r="F90" s="179"/>
      <c r="G90" s="179"/>
      <c r="H90" s="179" t="s">
        <v>527</v>
      </c>
      <c r="I90" s="179" t="s">
        <v>527</v>
      </c>
      <c r="J90" s="179" t="s">
        <v>527</v>
      </c>
      <c r="K90" s="179" t="s">
        <v>527</v>
      </c>
      <c r="L90" s="183">
        <f>N90/'[1]1'!$K$64</f>
        <v>0.8542039355992844</v>
      </c>
      <c r="M90" s="179">
        <f>N90-'[1]1'!$K$64</f>
        <v>-163</v>
      </c>
      <c r="N90" s="171">
        <f t="shared" si="12"/>
        <v>955</v>
      </c>
      <c r="O90" s="186">
        <v>263</v>
      </c>
      <c r="P90" s="184">
        <f t="shared" si="13"/>
        <v>346</v>
      </c>
      <c r="Q90" s="171">
        <f t="shared" si="14"/>
        <v>692</v>
      </c>
      <c r="R90" s="186">
        <v>34</v>
      </c>
      <c r="S90" s="186">
        <v>24</v>
      </c>
      <c r="T90" s="186">
        <v>634</v>
      </c>
      <c r="U90" s="180"/>
    </row>
    <row r="91" spans="1:21" s="181" customFormat="1" ht="25.5" customHeight="1">
      <c r="A91" s="674">
        <v>50</v>
      </c>
      <c r="B91" s="675" t="s">
        <v>402</v>
      </c>
      <c r="C91" s="179" t="s">
        <v>527</v>
      </c>
      <c r="D91" s="179" t="s">
        <v>527</v>
      </c>
      <c r="E91" s="179" t="s">
        <v>527</v>
      </c>
      <c r="F91" s="179"/>
      <c r="G91" s="179"/>
      <c r="H91" s="179" t="s">
        <v>527</v>
      </c>
      <c r="I91" s="179" t="s">
        <v>527</v>
      </c>
      <c r="J91" s="179" t="s">
        <v>527</v>
      </c>
      <c r="K91" s="179" t="s">
        <v>527</v>
      </c>
      <c r="L91" s="183">
        <f>N91/'[1]1'!$K$65</f>
        <v>0.6813186813186813</v>
      </c>
      <c r="M91" s="179">
        <f>N91-'[1]1'!$K$65</f>
        <v>-87</v>
      </c>
      <c r="N91" s="171">
        <f t="shared" si="12"/>
        <v>186</v>
      </c>
      <c r="O91" s="186">
        <v>62</v>
      </c>
      <c r="P91" s="184">
        <f t="shared" si="13"/>
        <v>62</v>
      </c>
      <c r="Q91" s="171">
        <f t="shared" si="14"/>
        <v>124</v>
      </c>
      <c r="R91" s="186">
        <v>6</v>
      </c>
      <c r="S91" s="186">
        <v>19</v>
      </c>
      <c r="T91" s="186">
        <v>99</v>
      </c>
      <c r="U91" s="180"/>
    </row>
    <row r="92" spans="1:21" s="181" customFormat="1" ht="25.5" customHeight="1">
      <c r="A92" s="674">
        <v>51</v>
      </c>
      <c r="B92" s="675" t="s">
        <v>403</v>
      </c>
      <c r="C92" s="179" t="s">
        <v>527</v>
      </c>
      <c r="D92" s="179" t="s">
        <v>527</v>
      </c>
      <c r="E92" s="179" t="s">
        <v>527</v>
      </c>
      <c r="F92" s="179"/>
      <c r="G92" s="179"/>
      <c r="H92" s="179" t="s">
        <v>527</v>
      </c>
      <c r="I92" s="179" t="s">
        <v>527</v>
      </c>
      <c r="J92" s="179" t="s">
        <v>527</v>
      </c>
      <c r="K92" s="179" t="s">
        <v>527</v>
      </c>
      <c r="L92" s="183">
        <f>N92/'[1]1'!$K$66</f>
        <v>1.0501567398119123</v>
      </c>
      <c r="M92" s="179">
        <f>N92-'[1]1'!$K$66</f>
        <v>16</v>
      </c>
      <c r="N92" s="171">
        <f t="shared" si="12"/>
        <v>335</v>
      </c>
      <c r="O92" s="186">
        <v>112</v>
      </c>
      <c r="P92" s="184">
        <f t="shared" si="13"/>
        <v>111.5</v>
      </c>
      <c r="Q92" s="171">
        <f t="shared" si="14"/>
        <v>223</v>
      </c>
      <c r="R92" s="186">
        <v>17</v>
      </c>
      <c r="S92" s="186">
        <v>25</v>
      </c>
      <c r="T92" s="186">
        <v>181</v>
      </c>
      <c r="U92" s="180"/>
    </row>
    <row r="93" spans="1:21" s="181" customFormat="1" ht="25.5" customHeight="1">
      <c r="A93" s="674">
        <v>52</v>
      </c>
      <c r="B93" s="675" t="s">
        <v>404</v>
      </c>
      <c r="C93" s="179" t="s">
        <v>527</v>
      </c>
      <c r="D93" s="179" t="s">
        <v>527</v>
      </c>
      <c r="E93" s="179" t="s">
        <v>527</v>
      </c>
      <c r="F93" s="179"/>
      <c r="G93" s="179"/>
      <c r="H93" s="179" t="s">
        <v>527</v>
      </c>
      <c r="I93" s="179" t="s">
        <v>527</v>
      </c>
      <c r="J93" s="179" t="s">
        <v>527</v>
      </c>
      <c r="K93" s="179" t="s">
        <v>527</v>
      </c>
      <c r="L93" s="183">
        <f>N93/'[1]1'!$K$67</f>
        <v>0.6007751937984496</v>
      </c>
      <c r="M93" s="179">
        <f>N93-'[1]1'!$K$67</f>
        <v>-206</v>
      </c>
      <c r="N93" s="171">
        <f t="shared" si="12"/>
        <v>310</v>
      </c>
      <c r="O93" s="186">
        <v>103</v>
      </c>
      <c r="P93" s="184">
        <f t="shared" si="13"/>
        <v>103.5</v>
      </c>
      <c r="Q93" s="171">
        <f t="shared" si="14"/>
        <v>207</v>
      </c>
      <c r="R93" s="186">
        <v>3</v>
      </c>
      <c r="S93" s="186">
        <v>23</v>
      </c>
      <c r="T93" s="186">
        <v>181</v>
      </c>
      <c r="U93" s="180"/>
    </row>
    <row r="94" spans="1:21" s="181" customFormat="1" ht="25.5" customHeight="1">
      <c r="A94" s="674">
        <v>53</v>
      </c>
      <c r="B94" s="675" t="s">
        <v>405</v>
      </c>
      <c r="C94" s="179" t="s">
        <v>527</v>
      </c>
      <c r="D94" s="179" t="s">
        <v>527</v>
      </c>
      <c r="E94" s="179" t="s">
        <v>527</v>
      </c>
      <c r="F94" s="179"/>
      <c r="G94" s="179"/>
      <c r="H94" s="179" t="s">
        <v>527</v>
      </c>
      <c r="I94" s="179" t="s">
        <v>527</v>
      </c>
      <c r="J94" s="179" t="s">
        <v>527</v>
      </c>
      <c r="K94" s="179" t="s">
        <v>527</v>
      </c>
      <c r="L94" s="183">
        <f>N94/'[1]1'!$K$68</f>
        <v>0.6322314049586777</v>
      </c>
      <c r="M94" s="179">
        <f>N94-'[1]1'!$K$68</f>
        <v>-445</v>
      </c>
      <c r="N94" s="171">
        <f t="shared" si="12"/>
        <v>765</v>
      </c>
      <c r="O94" s="190">
        <v>255</v>
      </c>
      <c r="P94" s="184">
        <f t="shared" si="13"/>
        <v>255</v>
      </c>
      <c r="Q94" s="171">
        <f t="shared" si="14"/>
        <v>510</v>
      </c>
      <c r="R94" s="186">
        <v>7</v>
      </c>
      <c r="S94" s="186">
        <v>18</v>
      </c>
      <c r="T94" s="186">
        <v>485</v>
      </c>
      <c r="U94" s="180"/>
    </row>
    <row r="95" spans="1:21" s="181" customFormat="1" ht="25.5" customHeight="1">
      <c r="A95" s="674">
        <v>54</v>
      </c>
      <c r="B95" s="675" t="s">
        <v>406</v>
      </c>
      <c r="C95" s="179" t="s">
        <v>527</v>
      </c>
      <c r="D95" s="179" t="s">
        <v>527</v>
      </c>
      <c r="E95" s="179" t="s">
        <v>527</v>
      </c>
      <c r="F95" s="179"/>
      <c r="G95" s="179"/>
      <c r="H95" s="179" t="s">
        <v>527</v>
      </c>
      <c r="I95" s="179" t="s">
        <v>527</v>
      </c>
      <c r="J95" s="179" t="s">
        <v>527</v>
      </c>
      <c r="K95" s="179" t="s">
        <v>527</v>
      </c>
      <c r="L95" s="183">
        <f>N95/'[1]1'!$K$69</f>
        <v>7.258064516129032</v>
      </c>
      <c r="M95" s="179">
        <f>N95-'[1]1'!$K$69</f>
        <v>2134</v>
      </c>
      <c r="N95" s="187">
        <f t="shared" si="12"/>
        <v>2475</v>
      </c>
      <c r="O95" s="190">
        <v>825</v>
      </c>
      <c r="P95" s="184">
        <f t="shared" si="13"/>
        <v>825</v>
      </c>
      <c r="Q95" s="171">
        <f t="shared" si="14"/>
        <v>1650</v>
      </c>
      <c r="R95" s="186">
        <v>29</v>
      </c>
      <c r="S95" s="186">
        <v>23</v>
      </c>
      <c r="T95" s="186">
        <v>1598</v>
      </c>
      <c r="U95" s="180" t="s">
        <v>546</v>
      </c>
    </row>
    <row r="96" spans="1:21" s="181" customFormat="1" ht="25.5" customHeight="1">
      <c r="A96" s="674">
        <v>55</v>
      </c>
      <c r="B96" s="675" t="s">
        <v>547</v>
      </c>
      <c r="C96" s="179" t="s">
        <v>527</v>
      </c>
      <c r="D96" s="179" t="s">
        <v>527</v>
      </c>
      <c r="E96" s="179" t="s">
        <v>527</v>
      </c>
      <c r="F96" s="179"/>
      <c r="G96" s="179"/>
      <c r="H96" s="179" t="s">
        <v>527</v>
      </c>
      <c r="I96" s="179" t="s">
        <v>527</v>
      </c>
      <c r="J96" s="179" t="s">
        <v>527</v>
      </c>
      <c r="K96" s="179" t="s">
        <v>527</v>
      </c>
      <c r="L96" s="183">
        <f>N96/'[1]1'!$K$70</f>
        <v>1.710573476702509</v>
      </c>
      <c r="M96" s="179">
        <f>N96-'[1]1'!$K$70</f>
        <v>1586</v>
      </c>
      <c r="N96" s="171">
        <f t="shared" si="12"/>
        <v>3818</v>
      </c>
      <c r="O96" s="186">
        <v>1280</v>
      </c>
      <c r="P96" s="184">
        <f t="shared" si="13"/>
        <v>1269</v>
      </c>
      <c r="Q96" s="171">
        <f t="shared" si="14"/>
        <v>2538</v>
      </c>
      <c r="R96" s="186">
        <v>12</v>
      </c>
      <c r="S96" s="186">
        <v>111</v>
      </c>
      <c r="T96" s="186">
        <v>2415</v>
      </c>
      <c r="U96" s="180"/>
    </row>
    <row r="97" spans="1:21" s="181" customFormat="1" ht="25.5" customHeight="1">
      <c r="A97" s="674">
        <v>56</v>
      </c>
      <c r="B97" s="675" t="s">
        <v>408</v>
      </c>
      <c r="C97" s="179" t="s">
        <v>527</v>
      </c>
      <c r="D97" s="179" t="s">
        <v>527</v>
      </c>
      <c r="E97" s="179" t="s">
        <v>527</v>
      </c>
      <c r="F97" s="179"/>
      <c r="G97" s="179"/>
      <c r="H97" s="179" t="s">
        <v>527</v>
      </c>
      <c r="I97" s="179" t="s">
        <v>527</v>
      </c>
      <c r="J97" s="179" t="s">
        <v>527</v>
      </c>
      <c r="K97" s="179" t="s">
        <v>527</v>
      </c>
      <c r="L97" s="183">
        <f>N97/'[1]1'!$K$71</f>
        <v>1.502906976744186</v>
      </c>
      <c r="M97" s="179">
        <f>N97-'[1]1'!$K$71</f>
        <v>346</v>
      </c>
      <c r="N97" s="171">
        <f t="shared" si="12"/>
        <v>1034</v>
      </c>
      <c r="O97" s="186">
        <v>345</v>
      </c>
      <c r="P97" s="184">
        <f t="shared" si="13"/>
        <v>344.5</v>
      </c>
      <c r="Q97" s="171">
        <f t="shared" si="14"/>
        <v>689</v>
      </c>
      <c r="R97" s="186">
        <v>17</v>
      </c>
      <c r="S97" s="186">
        <v>38</v>
      </c>
      <c r="T97" s="186">
        <v>634</v>
      </c>
      <c r="U97" s="180"/>
    </row>
    <row r="98" spans="1:21" s="181" customFormat="1" ht="25.5" customHeight="1">
      <c r="A98" s="674">
        <v>57</v>
      </c>
      <c r="B98" s="675" t="s">
        <v>409</v>
      </c>
      <c r="C98" s="179" t="s">
        <v>527</v>
      </c>
      <c r="D98" s="179" t="s">
        <v>527</v>
      </c>
      <c r="E98" s="179" t="s">
        <v>527</v>
      </c>
      <c r="F98" s="179"/>
      <c r="G98" s="179"/>
      <c r="H98" s="179" t="s">
        <v>527</v>
      </c>
      <c r="I98" s="179" t="s">
        <v>527</v>
      </c>
      <c r="J98" s="179" t="s">
        <v>527</v>
      </c>
      <c r="K98" s="179" t="s">
        <v>527</v>
      </c>
      <c r="L98" s="183">
        <f>N98/'[1]1'!$K$72</f>
        <v>1.0035087719298246</v>
      </c>
      <c r="M98" s="179">
        <f>N98-'[1]1'!$K$72</f>
        <v>3</v>
      </c>
      <c r="N98" s="171">
        <f t="shared" si="12"/>
        <v>858</v>
      </c>
      <c r="O98" s="186">
        <v>286</v>
      </c>
      <c r="P98" s="184">
        <f t="shared" si="13"/>
        <v>286</v>
      </c>
      <c r="Q98" s="171">
        <f t="shared" si="14"/>
        <v>572</v>
      </c>
      <c r="R98" s="186">
        <v>11</v>
      </c>
      <c r="S98" s="186">
        <v>30</v>
      </c>
      <c r="T98" s="186">
        <v>531</v>
      </c>
      <c r="U98" s="180"/>
    </row>
    <row r="99" spans="1:21" s="181" customFormat="1" ht="25.5" customHeight="1">
      <c r="A99" s="674">
        <v>58</v>
      </c>
      <c r="B99" s="675" t="s">
        <v>548</v>
      </c>
      <c r="C99" s="179" t="s">
        <v>527</v>
      </c>
      <c r="D99" s="179" t="s">
        <v>527</v>
      </c>
      <c r="E99" s="179" t="s">
        <v>527</v>
      </c>
      <c r="F99" s="179"/>
      <c r="G99" s="179"/>
      <c r="H99" s="179" t="s">
        <v>527</v>
      </c>
      <c r="I99" s="179" t="s">
        <v>527</v>
      </c>
      <c r="J99" s="179" t="s">
        <v>527</v>
      </c>
      <c r="K99" s="179" t="s">
        <v>527</v>
      </c>
      <c r="L99" s="183">
        <f>N99/'[1]1'!$K$73</f>
        <v>1.11787072243346</v>
      </c>
      <c r="M99" s="179">
        <f>N99-'[1]1'!$K$73</f>
        <v>31</v>
      </c>
      <c r="N99" s="171">
        <f t="shared" si="12"/>
        <v>294</v>
      </c>
      <c r="O99" s="186">
        <v>98</v>
      </c>
      <c r="P99" s="184">
        <f t="shared" si="13"/>
        <v>98</v>
      </c>
      <c r="Q99" s="171">
        <f t="shared" si="14"/>
        <v>196</v>
      </c>
      <c r="R99" s="186">
        <v>22</v>
      </c>
      <c r="S99" s="186">
        <v>37</v>
      </c>
      <c r="T99" s="186">
        <v>137</v>
      </c>
      <c r="U99" s="180"/>
    </row>
    <row r="100" spans="1:21" s="181" customFormat="1" ht="25.5" customHeight="1">
      <c r="A100" s="674">
        <v>59</v>
      </c>
      <c r="B100" s="675" t="s">
        <v>411</v>
      </c>
      <c r="C100" s="179" t="s">
        <v>527</v>
      </c>
      <c r="D100" s="179" t="s">
        <v>527</v>
      </c>
      <c r="E100" s="179" t="s">
        <v>527</v>
      </c>
      <c r="F100" s="179"/>
      <c r="G100" s="179"/>
      <c r="H100" s="179" t="s">
        <v>527</v>
      </c>
      <c r="I100" s="179" t="s">
        <v>527</v>
      </c>
      <c r="J100" s="179" t="s">
        <v>527</v>
      </c>
      <c r="K100" s="179" t="s">
        <v>527</v>
      </c>
      <c r="L100" s="183">
        <f>N100/'[1]1'!$K$74</f>
        <v>1.8144329896907216</v>
      </c>
      <c r="M100" s="179">
        <f>N100-'[1]1'!$K$74</f>
        <v>79</v>
      </c>
      <c r="N100" s="171">
        <f t="shared" si="12"/>
        <v>176</v>
      </c>
      <c r="O100" s="186">
        <v>59</v>
      </c>
      <c r="P100" s="184">
        <f t="shared" si="13"/>
        <v>58.5</v>
      </c>
      <c r="Q100" s="171">
        <f t="shared" si="14"/>
        <v>117</v>
      </c>
      <c r="R100" s="186">
        <v>13</v>
      </c>
      <c r="S100" s="186">
        <v>3</v>
      </c>
      <c r="T100" s="186">
        <v>101</v>
      </c>
      <c r="U100" s="180"/>
    </row>
    <row r="101" spans="1:21" s="181" customFormat="1" ht="25.5" customHeight="1">
      <c r="A101" s="674">
        <v>60</v>
      </c>
      <c r="B101" s="675" t="s">
        <v>412</v>
      </c>
      <c r="C101" s="179" t="s">
        <v>527</v>
      </c>
      <c r="D101" s="179" t="s">
        <v>527</v>
      </c>
      <c r="E101" s="179" t="s">
        <v>527</v>
      </c>
      <c r="F101" s="179"/>
      <c r="G101" s="179"/>
      <c r="H101" s="179" t="s">
        <v>527</v>
      </c>
      <c r="I101" s="179" t="s">
        <v>527</v>
      </c>
      <c r="J101" s="179" t="s">
        <v>527</v>
      </c>
      <c r="K101" s="179" t="s">
        <v>527</v>
      </c>
      <c r="L101" s="183">
        <f>N101/'[1]1'!$K$75</f>
        <v>1.3796033994334278</v>
      </c>
      <c r="M101" s="179">
        <f>N101-'[1]1'!$K$75</f>
        <v>134</v>
      </c>
      <c r="N101" s="171">
        <f t="shared" si="12"/>
        <v>487</v>
      </c>
      <c r="O101" s="186">
        <v>170</v>
      </c>
      <c r="P101" s="184">
        <f t="shared" si="13"/>
        <v>158.5</v>
      </c>
      <c r="Q101" s="171">
        <f t="shared" si="14"/>
        <v>317</v>
      </c>
      <c r="R101" s="186">
        <v>5</v>
      </c>
      <c r="S101" s="186">
        <v>47</v>
      </c>
      <c r="T101" s="186">
        <v>265</v>
      </c>
      <c r="U101" s="180"/>
    </row>
    <row r="102" spans="1:21" s="181" customFormat="1" ht="25.5" customHeight="1">
      <c r="A102" s="674">
        <v>61</v>
      </c>
      <c r="B102" s="675" t="s">
        <v>413</v>
      </c>
      <c r="C102" s="179" t="s">
        <v>527</v>
      </c>
      <c r="D102" s="179" t="s">
        <v>527</v>
      </c>
      <c r="E102" s="179" t="s">
        <v>527</v>
      </c>
      <c r="F102" s="179"/>
      <c r="G102" s="179"/>
      <c r="H102" s="179" t="s">
        <v>527</v>
      </c>
      <c r="I102" s="179" t="s">
        <v>527</v>
      </c>
      <c r="J102" s="179" t="s">
        <v>527</v>
      </c>
      <c r="K102" s="179" t="s">
        <v>527</v>
      </c>
      <c r="L102" s="183">
        <f>N102/'[1]1'!$K$76</f>
        <v>1.031055900621118</v>
      </c>
      <c r="M102" s="179">
        <f>N102-'[1]1'!$K$76</f>
        <v>5</v>
      </c>
      <c r="N102" s="171">
        <f t="shared" si="12"/>
        <v>166</v>
      </c>
      <c r="O102" s="186">
        <v>83</v>
      </c>
      <c r="P102" s="184">
        <f t="shared" si="13"/>
        <v>41.5</v>
      </c>
      <c r="Q102" s="171">
        <f t="shared" si="14"/>
        <v>83</v>
      </c>
      <c r="R102" s="186">
        <v>0</v>
      </c>
      <c r="S102" s="186">
        <v>19</v>
      </c>
      <c r="T102" s="186">
        <v>64</v>
      </c>
      <c r="U102" s="180"/>
    </row>
    <row r="103" spans="1:21" s="181" customFormat="1" ht="25.5" customHeight="1">
      <c r="A103" s="674">
        <v>62</v>
      </c>
      <c r="B103" s="675" t="s">
        <v>414</v>
      </c>
      <c r="C103" s="179" t="s">
        <v>527</v>
      </c>
      <c r="D103" s="179" t="s">
        <v>527</v>
      </c>
      <c r="E103" s="179" t="s">
        <v>527</v>
      </c>
      <c r="F103" s="179"/>
      <c r="G103" s="179"/>
      <c r="H103" s="179" t="s">
        <v>527</v>
      </c>
      <c r="I103" s="179" t="s">
        <v>527</v>
      </c>
      <c r="J103" s="179" t="s">
        <v>527</v>
      </c>
      <c r="K103" s="179" t="s">
        <v>527</v>
      </c>
      <c r="L103" s="183">
        <f>N103/'[1]1'!$K$77</f>
        <v>1.5845697329376855</v>
      </c>
      <c r="M103" s="179">
        <f>N103-'[1]1'!$K$77</f>
        <v>197</v>
      </c>
      <c r="N103" s="171">
        <f t="shared" si="12"/>
        <v>534</v>
      </c>
      <c r="O103" s="193">
        <v>114</v>
      </c>
      <c r="P103" s="184">
        <f t="shared" si="13"/>
        <v>210</v>
      </c>
      <c r="Q103" s="188">
        <f t="shared" si="14"/>
        <v>420</v>
      </c>
      <c r="R103" s="186">
        <v>12</v>
      </c>
      <c r="S103" s="186">
        <v>216</v>
      </c>
      <c r="T103" s="186">
        <v>192</v>
      </c>
      <c r="U103" s="180" t="s">
        <v>549</v>
      </c>
    </row>
    <row r="104" spans="1:21" s="181" customFormat="1" ht="25.5" customHeight="1">
      <c r="A104" s="674">
        <v>63</v>
      </c>
      <c r="B104" s="675" t="s">
        <v>415</v>
      </c>
      <c r="C104" s="179" t="s">
        <v>527</v>
      </c>
      <c r="D104" s="179" t="s">
        <v>527</v>
      </c>
      <c r="E104" s="179" t="s">
        <v>527</v>
      </c>
      <c r="F104" s="179"/>
      <c r="G104" s="179"/>
      <c r="H104" s="179" t="s">
        <v>527</v>
      </c>
      <c r="I104" s="179" t="s">
        <v>527</v>
      </c>
      <c r="J104" s="179" t="s">
        <v>527</v>
      </c>
      <c r="K104" s="179" t="s">
        <v>527</v>
      </c>
      <c r="L104" s="183">
        <f>N104/'[1]1'!$K$78</f>
        <v>1.0980392156862746</v>
      </c>
      <c r="M104" s="179">
        <f>N104-'[1]1'!$K$78</f>
        <v>35</v>
      </c>
      <c r="N104" s="171">
        <f t="shared" si="12"/>
        <v>392</v>
      </c>
      <c r="O104" s="186">
        <v>20</v>
      </c>
      <c r="P104" s="184">
        <f t="shared" si="13"/>
        <v>186</v>
      </c>
      <c r="Q104" s="171">
        <f t="shared" si="14"/>
        <v>372</v>
      </c>
      <c r="R104" s="186">
        <v>7</v>
      </c>
      <c r="S104" s="186">
        <v>23</v>
      </c>
      <c r="T104" s="186">
        <v>342</v>
      </c>
      <c r="U104" s="180"/>
    </row>
    <row r="106" spans="1:12" s="89" customFormat="1" ht="18" customHeight="1">
      <c r="A106" s="50"/>
      <c r="B106" s="50" t="s">
        <v>342</v>
      </c>
      <c r="C106" s="56" t="s">
        <v>494</v>
      </c>
      <c r="D106" s="56"/>
      <c r="E106" s="56"/>
      <c r="F106" s="56"/>
      <c r="G106" s="50"/>
      <c r="H106" s="50"/>
      <c r="I106" s="50"/>
      <c r="J106" s="50"/>
      <c r="K106" s="88"/>
      <c r="L106" s="88"/>
    </row>
    <row r="107" spans="1:10" s="87" customFormat="1" ht="18" customHeight="1">
      <c r="A107" s="50"/>
      <c r="B107" s="50" t="s">
        <v>343</v>
      </c>
      <c r="C107" s="50" t="s">
        <v>344</v>
      </c>
      <c r="E107" s="50"/>
      <c r="F107" s="50"/>
      <c r="G107" s="50"/>
      <c r="H107" s="50"/>
      <c r="I107" s="50"/>
      <c r="J107" s="50"/>
    </row>
    <row r="108" spans="1:10" s="87" customFormat="1" ht="18" customHeight="1">
      <c r="A108" s="50"/>
      <c r="B108" s="50" t="s">
        <v>345</v>
      </c>
      <c r="C108" s="50" t="s">
        <v>346</v>
      </c>
      <c r="E108" s="50"/>
      <c r="F108" s="50"/>
      <c r="G108" s="50"/>
      <c r="H108" s="50"/>
      <c r="I108" s="50"/>
      <c r="J108" s="50"/>
    </row>
    <row r="109" spans="1:20" s="22" customFormat="1" ht="15.75">
      <c r="A109"/>
      <c r="B109" s="142"/>
      <c r="C109" s="120" t="s">
        <v>493</v>
      </c>
      <c r="D109" s="13"/>
      <c r="E109"/>
      <c r="F109"/>
      <c r="G109"/>
      <c r="H109"/>
      <c r="I109"/>
      <c r="J109"/>
      <c r="K109"/>
      <c r="L109"/>
      <c r="M109"/>
      <c r="N109"/>
      <c r="O109"/>
      <c r="P109"/>
      <c r="Q109"/>
      <c r="R109"/>
      <c r="S109"/>
      <c r="T109" s="13"/>
    </row>
    <row r="110" spans="1:20" s="22" customFormat="1" ht="15.75">
      <c r="A110"/>
      <c r="B110" s="90"/>
      <c r="C110" s="50" t="s">
        <v>430</v>
      </c>
      <c r="D110" s="13"/>
      <c r="E110"/>
      <c r="F110"/>
      <c r="G110"/>
      <c r="H110"/>
      <c r="I110"/>
      <c r="J110"/>
      <c r="K110"/>
      <c r="L110"/>
      <c r="M110"/>
      <c r="N110"/>
      <c r="O110"/>
      <c r="P110"/>
      <c r="Q110"/>
      <c r="R110"/>
      <c r="S110"/>
      <c r="T110" s="13"/>
    </row>
    <row r="111" spans="1:20" s="22" customFormat="1" ht="15.75">
      <c r="A111"/>
      <c r="B111" s="91"/>
      <c r="C111" s="50" t="s">
        <v>429</v>
      </c>
      <c r="D111" s="13"/>
      <c r="E111"/>
      <c r="F111"/>
      <c r="G111"/>
      <c r="H111"/>
      <c r="I111"/>
      <c r="J111"/>
      <c r="K111"/>
      <c r="L111"/>
      <c r="M111"/>
      <c r="N111"/>
      <c r="O111"/>
      <c r="P111"/>
      <c r="Q111"/>
      <c r="R111"/>
      <c r="S111"/>
      <c r="T111" s="13"/>
    </row>
    <row r="112" spans="1:20" s="38" customFormat="1" ht="15.75">
      <c r="A112"/>
      <c r="B112" s="143"/>
      <c r="C112" s="86" t="s">
        <v>495</v>
      </c>
      <c r="D112" s="13"/>
      <c r="E112"/>
      <c r="F112"/>
      <c r="G112"/>
      <c r="H112"/>
      <c r="I112"/>
      <c r="J112"/>
      <c r="K112"/>
      <c r="L112"/>
      <c r="M112"/>
      <c r="N112"/>
      <c r="O112"/>
      <c r="P112"/>
      <c r="Q112"/>
      <c r="R112"/>
      <c r="S112"/>
      <c r="T112" s="13"/>
    </row>
    <row r="113" spans="1:20" s="22" customFormat="1" ht="16.5" customHeight="1">
      <c r="A113"/>
      <c r="B113" s="50"/>
      <c r="C113" s="13"/>
      <c r="D113" s="13"/>
      <c r="E113"/>
      <c r="F113"/>
      <c r="G113"/>
      <c r="H113"/>
      <c r="I113"/>
      <c r="J113"/>
      <c r="K113"/>
      <c r="L113"/>
      <c r="M113"/>
      <c r="N113"/>
      <c r="O113"/>
      <c r="P113"/>
      <c r="Q113"/>
      <c r="R113"/>
      <c r="S113"/>
      <c r="T113" s="13"/>
    </row>
    <row r="114" spans="1:20" s="22" customFormat="1" ht="16.5" customHeight="1">
      <c r="A114"/>
      <c r="B114" s="50"/>
      <c r="C114" s="13"/>
      <c r="D114" s="13"/>
      <c r="E114"/>
      <c r="F114"/>
      <c r="G114"/>
      <c r="H114"/>
      <c r="I114"/>
      <c r="J114"/>
      <c r="K114"/>
      <c r="L114"/>
      <c r="M114"/>
      <c r="N114"/>
      <c r="O114"/>
      <c r="P114"/>
      <c r="Q114"/>
      <c r="R114"/>
      <c r="S114"/>
      <c r="T114" s="13"/>
    </row>
    <row r="115" spans="1:27" s="72" customFormat="1" ht="15.75">
      <c r="A115" s="86"/>
      <c r="B115" s="50" t="s">
        <v>550</v>
      </c>
      <c r="C115" s="56"/>
      <c r="D115" s="50"/>
      <c r="E115" s="50"/>
      <c r="F115" s="50"/>
      <c r="G115" s="50"/>
      <c r="H115" s="50"/>
      <c r="I115" s="50"/>
      <c r="J115" s="50"/>
      <c r="K115" s="50"/>
      <c r="L115" s="194"/>
      <c r="M115" s="50"/>
      <c r="N115" s="56"/>
      <c r="O115" s="56"/>
      <c r="P115" s="50"/>
      <c r="Q115" s="56"/>
      <c r="R115" s="56"/>
      <c r="S115" s="56"/>
      <c r="T115" s="56"/>
      <c r="U115" s="56"/>
      <c r="V115" s="56"/>
      <c r="W115" s="56"/>
      <c r="X115" s="56"/>
      <c r="Y115" s="56"/>
      <c r="Z115" s="56"/>
      <c r="AA115" s="56"/>
    </row>
    <row r="116" spans="1:27" s="72" customFormat="1" ht="15.75">
      <c r="A116" s="86"/>
      <c r="B116" s="50"/>
      <c r="C116" s="50"/>
      <c r="D116" s="87"/>
      <c r="E116" s="50"/>
      <c r="F116" s="50"/>
      <c r="G116" s="50"/>
      <c r="H116" s="50"/>
      <c r="I116" s="50"/>
      <c r="J116" s="50"/>
      <c r="K116" s="50"/>
      <c r="L116" s="194"/>
      <c r="M116" s="50"/>
      <c r="N116" s="56"/>
      <c r="O116" s="56"/>
      <c r="P116" s="50"/>
      <c r="Q116" s="56"/>
      <c r="R116" s="56"/>
      <c r="S116" s="56"/>
      <c r="T116" s="56"/>
      <c r="U116" s="56"/>
      <c r="V116" s="56"/>
      <c r="W116" s="56"/>
      <c r="X116" s="56"/>
      <c r="Y116" s="56"/>
      <c r="Z116" s="56"/>
      <c r="AA116" s="56"/>
    </row>
    <row r="117" spans="1:27" s="72" customFormat="1" ht="15.75">
      <c r="A117" s="86"/>
      <c r="B117" s="50"/>
      <c r="C117" s="50"/>
      <c r="D117" s="50"/>
      <c r="E117" s="50"/>
      <c r="F117" s="50"/>
      <c r="G117" s="50"/>
      <c r="H117" s="50"/>
      <c r="I117" s="50"/>
      <c r="J117" s="50"/>
      <c r="K117" s="50"/>
      <c r="L117" s="194"/>
      <c r="M117" s="50"/>
      <c r="N117" s="56"/>
      <c r="O117" s="56"/>
      <c r="P117" s="50"/>
      <c r="Q117" s="56"/>
      <c r="R117" s="56"/>
      <c r="S117" s="56"/>
      <c r="T117" s="56"/>
      <c r="U117" s="56"/>
      <c r="V117" s="56"/>
      <c r="W117" s="56"/>
      <c r="X117" s="56"/>
      <c r="Y117" s="56"/>
      <c r="Z117" s="56"/>
      <c r="AA117" s="56"/>
    </row>
  </sheetData>
  <sheetProtection/>
  <mergeCells count="33">
    <mergeCell ref="A13:B13"/>
    <mergeCell ref="N7:N11"/>
    <mergeCell ref="A35:B35"/>
    <mergeCell ref="A41:B41"/>
    <mergeCell ref="A12:B12"/>
    <mergeCell ref="A14:B14"/>
    <mergeCell ref="E8:E11"/>
    <mergeCell ref="F9:F11"/>
    <mergeCell ref="G9:G11"/>
    <mergeCell ref="F8:K8"/>
    <mergeCell ref="O7:O11"/>
    <mergeCell ref="L7:L11"/>
    <mergeCell ref="M7:M11"/>
    <mergeCell ref="H9:H11"/>
    <mergeCell ref="I9:I11"/>
    <mergeCell ref="J9:J11"/>
    <mergeCell ref="K9:K11"/>
    <mergeCell ref="T9:T11"/>
    <mergeCell ref="P7:P11"/>
    <mergeCell ref="Q7:T7"/>
    <mergeCell ref="Q8:Q11"/>
    <mergeCell ref="R9:R11"/>
    <mergeCell ref="S9:S11"/>
    <mergeCell ref="A2:T2"/>
    <mergeCell ref="A3:T3"/>
    <mergeCell ref="A4:T4"/>
    <mergeCell ref="A6:B11"/>
    <mergeCell ref="C6:K6"/>
    <mergeCell ref="L6:M6"/>
    <mergeCell ref="N6:T6"/>
    <mergeCell ref="C7:C11"/>
    <mergeCell ref="D7:D11"/>
    <mergeCell ref="E7:K7"/>
  </mergeCells>
  <printOptions/>
  <pageMargins left="0.75" right="0.2" top="1" bottom="0.5" header="0" footer="0"/>
  <pageSetup horizontalDpi="600" verticalDpi="600" orientation="landscape" paperSize="9" scale="60" r:id="rId2"/>
  <drawing r:id="rId1"/>
</worksheet>
</file>

<file path=xl/worksheets/sheet10.xml><?xml version="1.0" encoding="utf-8"?>
<worksheet xmlns="http://schemas.openxmlformats.org/spreadsheetml/2006/main" xmlns:r="http://schemas.openxmlformats.org/officeDocument/2006/relationships">
  <sheetPr>
    <tabColor theme="9" tint="-0.24997000396251678"/>
  </sheetPr>
  <dimension ref="A1:AG84"/>
  <sheetViews>
    <sheetView zoomScale="85" zoomScaleNormal="85" zoomScalePageLayoutView="0" workbookViewId="0" topLeftCell="D34">
      <selection activeCell="AJ70" sqref="AJ70"/>
    </sheetView>
  </sheetViews>
  <sheetFormatPr defaultColWidth="9.140625" defaultRowHeight="12.75"/>
  <cols>
    <col min="1" max="1" width="3.8515625" style="0" customWidth="1"/>
    <col min="2" max="2" width="18.57421875" style="0" customWidth="1"/>
    <col min="3" max="4" width="8.7109375" style="0" customWidth="1"/>
    <col min="5" max="5" width="8.7109375" style="0" hidden="1" customWidth="1"/>
    <col min="6" max="8" width="8.7109375" style="0" customWidth="1"/>
    <col min="9" max="9" width="8.7109375" style="0" hidden="1" customWidth="1"/>
    <col min="10" max="10" width="8.7109375" style="0" customWidth="1"/>
    <col min="11" max="11" width="8.7109375" style="255" hidden="1" customWidth="1"/>
    <col min="12" max="12" width="8.7109375" style="0" hidden="1" customWidth="1"/>
    <col min="13" max="13" width="10.8515625" style="0" customWidth="1"/>
    <col min="14" max="14" width="8.7109375" style="0" customWidth="1"/>
    <col min="15" max="15" width="8.7109375" style="0" hidden="1" customWidth="1"/>
    <col min="16" max="18" width="8.7109375" style="0" customWidth="1"/>
    <col min="19" max="19" width="8.7109375" style="255" hidden="1" customWidth="1"/>
    <col min="20" max="20" width="8.7109375" style="0" hidden="1" customWidth="1"/>
    <col min="21" max="22" width="8.7109375" style="0" customWidth="1"/>
    <col min="23" max="23" width="8.7109375" style="0" hidden="1" customWidth="1"/>
    <col min="24" max="24" width="8.7109375" style="0" customWidth="1"/>
    <col min="25" max="26" width="8.7109375" style="0" hidden="1" customWidth="1"/>
    <col min="27" max="28" width="8.7109375" style="0" customWidth="1"/>
    <col min="29" max="29" width="8.7109375" style="0" hidden="1" customWidth="1"/>
    <col min="30" max="32" width="8.7109375" style="0" customWidth="1"/>
    <col min="33" max="33" width="14.7109375" style="0" customWidth="1"/>
  </cols>
  <sheetData>
    <row r="1" spans="1:16" ht="18.75">
      <c r="A1" s="215" t="s">
        <v>318</v>
      </c>
      <c r="B1" s="215"/>
      <c r="C1" s="256"/>
      <c r="D1" s="256"/>
      <c r="E1" s="256"/>
      <c r="F1" s="256"/>
      <c r="G1" s="256"/>
      <c r="H1" s="256"/>
      <c r="I1" s="256"/>
      <c r="J1" s="256"/>
      <c r="K1" s="218"/>
      <c r="L1" s="256"/>
      <c r="M1" s="256"/>
      <c r="N1" s="256"/>
      <c r="O1" s="256"/>
      <c r="P1" s="256"/>
    </row>
    <row r="2" spans="1:32" ht="18.75">
      <c r="A2" s="920" t="s">
        <v>584</v>
      </c>
      <c r="B2" s="920"/>
      <c r="C2" s="920"/>
      <c r="D2" s="920"/>
      <c r="E2" s="920"/>
      <c r="F2" s="920"/>
      <c r="G2" s="920"/>
      <c r="H2" s="920"/>
      <c r="I2" s="920"/>
      <c r="J2" s="920"/>
      <c r="K2" s="920"/>
      <c r="L2" s="920"/>
      <c r="M2" s="920"/>
      <c r="N2" s="920"/>
      <c r="O2" s="920"/>
      <c r="P2" s="920"/>
      <c r="Q2" s="920"/>
      <c r="R2" s="920"/>
      <c r="S2" s="920"/>
      <c r="T2" s="920"/>
      <c r="U2" s="920"/>
      <c r="V2" s="920"/>
      <c r="W2" s="920"/>
      <c r="X2" s="920"/>
      <c r="Y2" s="920"/>
      <c r="Z2" s="920"/>
      <c r="AA2" s="920"/>
      <c r="AB2" s="920"/>
      <c r="AC2" s="920"/>
      <c r="AD2" s="920"/>
      <c r="AE2" s="920"/>
      <c r="AF2" s="920"/>
    </row>
    <row r="3" spans="1:32" ht="20.25" customHeight="1">
      <c r="A3" s="987" t="s">
        <v>585</v>
      </c>
      <c r="B3" s="987"/>
      <c r="C3" s="987"/>
      <c r="D3" s="987"/>
      <c r="E3" s="987"/>
      <c r="F3" s="987"/>
      <c r="G3" s="987"/>
      <c r="H3" s="987"/>
      <c r="I3" s="987"/>
      <c r="J3" s="987"/>
      <c r="K3" s="987"/>
      <c r="L3" s="987"/>
      <c r="M3" s="987"/>
      <c r="N3" s="987"/>
      <c r="O3" s="987"/>
      <c r="P3" s="987"/>
      <c r="Q3" s="987"/>
      <c r="R3" s="987"/>
      <c r="S3" s="987"/>
      <c r="T3" s="987"/>
      <c r="U3" s="987"/>
      <c r="V3" s="987"/>
      <c r="W3" s="987"/>
      <c r="X3" s="987"/>
      <c r="Y3" s="987"/>
      <c r="Z3" s="987"/>
      <c r="AA3" s="987"/>
      <c r="AB3" s="987"/>
      <c r="AC3" s="987"/>
      <c r="AD3" s="987"/>
      <c r="AE3" s="987"/>
      <c r="AF3" s="987"/>
    </row>
    <row r="4" spans="1:32" ht="20.25" customHeight="1">
      <c r="A4" s="920" t="s">
        <v>319</v>
      </c>
      <c r="B4" s="920"/>
      <c r="C4" s="920"/>
      <c r="D4" s="920"/>
      <c r="E4" s="920"/>
      <c r="F4" s="920"/>
      <c r="G4" s="920"/>
      <c r="H4" s="920"/>
      <c r="I4" s="920"/>
      <c r="J4" s="920"/>
      <c r="K4" s="920"/>
      <c r="L4" s="920"/>
      <c r="M4" s="920"/>
      <c r="N4" s="920"/>
      <c r="O4" s="920"/>
      <c r="P4" s="920"/>
      <c r="Q4" s="920"/>
      <c r="R4" s="920"/>
      <c r="S4" s="920"/>
      <c r="T4" s="920"/>
      <c r="U4" s="920"/>
      <c r="V4" s="920"/>
      <c r="W4" s="920"/>
      <c r="X4" s="920"/>
      <c r="Y4" s="920"/>
      <c r="Z4" s="920"/>
      <c r="AA4" s="920"/>
      <c r="AB4" s="920"/>
      <c r="AC4" s="920"/>
      <c r="AD4" s="920"/>
      <c r="AE4" s="920"/>
      <c r="AF4" s="920"/>
    </row>
    <row r="5" spans="1:16" ht="20.25" customHeight="1">
      <c r="A5" s="220"/>
      <c r="B5" s="220"/>
      <c r="C5" s="220"/>
      <c r="D5" s="220"/>
      <c r="E5" s="220"/>
      <c r="F5" s="220"/>
      <c r="G5" s="220"/>
      <c r="H5" s="220"/>
      <c r="I5" s="220"/>
      <c r="J5" s="220"/>
      <c r="K5" s="222"/>
      <c r="L5" s="220"/>
      <c r="M5" s="220"/>
      <c r="N5" s="220"/>
      <c r="O5" s="220"/>
      <c r="P5" s="220"/>
    </row>
    <row r="6" spans="1:32" s="224" customFormat="1" ht="26.25" customHeight="1">
      <c r="A6" s="994"/>
      <c r="B6" s="994"/>
      <c r="C6" s="995" t="s">
        <v>607</v>
      </c>
      <c r="D6" s="995"/>
      <c r="E6" s="995"/>
      <c r="F6" s="995"/>
      <c r="G6" s="995"/>
      <c r="H6" s="995"/>
      <c r="I6" s="995"/>
      <c r="J6" s="995"/>
      <c r="K6" s="995"/>
      <c r="L6" s="995"/>
      <c r="M6" s="995"/>
      <c r="N6" s="995"/>
      <c r="O6" s="995"/>
      <c r="P6" s="995"/>
      <c r="Q6" s="995"/>
      <c r="R6" s="992" t="s">
        <v>608</v>
      </c>
      <c r="S6" s="992"/>
      <c r="T6" s="992"/>
      <c r="U6" s="992"/>
      <c r="V6" s="992"/>
      <c r="W6" s="992"/>
      <c r="X6" s="992"/>
      <c r="Y6" s="992"/>
      <c r="Z6" s="992"/>
      <c r="AA6" s="992"/>
      <c r="AB6" s="992"/>
      <c r="AC6" s="992"/>
      <c r="AD6" s="992"/>
      <c r="AE6" s="992"/>
      <c r="AF6" s="992"/>
    </row>
    <row r="7" spans="1:32" s="224" customFormat="1" ht="44.25" customHeight="1">
      <c r="A7" s="994"/>
      <c r="B7" s="994"/>
      <c r="C7" s="994" t="s">
        <v>586</v>
      </c>
      <c r="D7" s="994"/>
      <c r="E7" s="994"/>
      <c r="F7" s="994"/>
      <c r="G7" s="994"/>
      <c r="H7" s="994"/>
      <c r="I7" s="994"/>
      <c r="J7" s="994"/>
      <c r="K7" s="258"/>
      <c r="L7" s="158"/>
      <c r="M7" s="994" t="s">
        <v>587</v>
      </c>
      <c r="N7" s="994"/>
      <c r="O7" s="994"/>
      <c r="P7" s="994"/>
      <c r="Q7" s="994"/>
      <c r="R7" s="999" t="s">
        <v>322</v>
      </c>
      <c r="S7" s="258"/>
      <c r="T7" s="158"/>
      <c r="U7" s="992" t="s">
        <v>588</v>
      </c>
      <c r="V7" s="992"/>
      <c r="W7" s="992"/>
      <c r="X7" s="992"/>
      <c r="Y7" s="257"/>
      <c r="Z7" s="257"/>
      <c r="AA7" s="992" t="s">
        <v>589</v>
      </c>
      <c r="AB7" s="992"/>
      <c r="AC7" s="992"/>
      <c r="AD7" s="992"/>
      <c r="AE7" s="992"/>
      <c r="AF7" s="992"/>
    </row>
    <row r="8" spans="1:32" s="224" customFormat="1" ht="24.75" customHeight="1">
      <c r="A8" s="994"/>
      <c r="B8" s="994"/>
      <c r="C8" s="993" t="s">
        <v>590</v>
      </c>
      <c r="D8" s="993"/>
      <c r="E8" s="993"/>
      <c r="F8" s="993"/>
      <c r="G8" s="988" t="s">
        <v>591</v>
      </c>
      <c r="H8" s="988"/>
      <c r="I8" s="988"/>
      <c r="J8" s="988"/>
      <c r="K8" s="990" t="s">
        <v>592</v>
      </c>
      <c r="L8" s="991"/>
      <c r="M8" s="988" t="s">
        <v>575</v>
      </c>
      <c r="N8" s="988" t="s">
        <v>512</v>
      </c>
      <c r="O8" s="996" t="s">
        <v>515</v>
      </c>
      <c r="P8" s="988" t="s">
        <v>576</v>
      </c>
      <c r="Q8" s="988"/>
      <c r="R8" s="999"/>
      <c r="S8" s="990" t="s">
        <v>592</v>
      </c>
      <c r="T8" s="991"/>
      <c r="U8" s="988" t="s">
        <v>511</v>
      </c>
      <c r="V8" s="993" t="s">
        <v>593</v>
      </c>
      <c r="W8" s="993"/>
      <c r="X8" s="993"/>
      <c r="Y8" s="990" t="s">
        <v>592</v>
      </c>
      <c r="Z8" s="991"/>
      <c r="AA8" s="988" t="s">
        <v>511</v>
      </c>
      <c r="AB8" s="988" t="s">
        <v>512</v>
      </c>
      <c r="AC8" s="996" t="s">
        <v>515</v>
      </c>
      <c r="AD8" s="988" t="s">
        <v>576</v>
      </c>
      <c r="AE8" s="988"/>
      <c r="AF8" s="988"/>
    </row>
    <row r="9" spans="1:32" s="224" customFormat="1" ht="12.75">
      <c r="A9" s="994"/>
      <c r="B9" s="994"/>
      <c r="C9" s="988" t="s">
        <v>575</v>
      </c>
      <c r="D9" s="988" t="s">
        <v>512</v>
      </c>
      <c r="E9" s="996" t="s">
        <v>515</v>
      </c>
      <c r="F9" s="988" t="s">
        <v>576</v>
      </c>
      <c r="G9" s="988" t="s">
        <v>575</v>
      </c>
      <c r="H9" s="988" t="s">
        <v>512</v>
      </c>
      <c r="I9" s="996" t="s">
        <v>515</v>
      </c>
      <c r="J9" s="988" t="s">
        <v>576</v>
      </c>
      <c r="K9" s="1000" t="s">
        <v>513</v>
      </c>
      <c r="L9" s="1002" t="s">
        <v>514</v>
      </c>
      <c r="M9" s="988"/>
      <c r="N9" s="988"/>
      <c r="O9" s="997"/>
      <c r="P9" s="988" t="s">
        <v>322</v>
      </c>
      <c r="Q9" s="988" t="s">
        <v>594</v>
      </c>
      <c r="R9" s="999"/>
      <c r="S9" s="1000" t="s">
        <v>513</v>
      </c>
      <c r="T9" s="1002" t="s">
        <v>514</v>
      </c>
      <c r="U9" s="988"/>
      <c r="V9" s="988" t="s">
        <v>512</v>
      </c>
      <c r="W9" s="996" t="s">
        <v>515</v>
      </c>
      <c r="X9" s="988" t="s">
        <v>576</v>
      </c>
      <c r="Y9" s="1000" t="s">
        <v>513</v>
      </c>
      <c r="Z9" s="1002" t="s">
        <v>514</v>
      </c>
      <c r="AA9" s="988"/>
      <c r="AB9" s="988"/>
      <c r="AC9" s="997"/>
      <c r="AD9" s="988" t="s">
        <v>322</v>
      </c>
      <c r="AE9" s="988" t="s">
        <v>595</v>
      </c>
      <c r="AF9" s="988"/>
    </row>
    <row r="10" spans="1:32" s="224" customFormat="1" ht="94.5" customHeight="1">
      <c r="A10" s="994"/>
      <c r="B10" s="994"/>
      <c r="C10" s="988"/>
      <c r="D10" s="988"/>
      <c r="E10" s="998"/>
      <c r="F10" s="988"/>
      <c r="G10" s="988"/>
      <c r="H10" s="988"/>
      <c r="I10" s="998"/>
      <c r="J10" s="988"/>
      <c r="K10" s="1001"/>
      <c r="L10" s="1003"/>
      <c r="M10" s="988"/>
      <c r="N10" s="988"/>
      <c r="O10" s="998"/>
      <c r="P10" s="988"/>
      <c r="Q10" s="988"/>
      <c r="R10" s="999"/>
      <c r="S10" s="1001"/>
      <c r="T10" s="1003"/>
      <c r="U10" s="988"/>
      <c r="V10" s="988"/>
      <c r="W10" s="998"/>
      <c r="X10" s="988"/>
      <c r="Y10" s="1001"/>
      <c r="Z10" s="1003"/>
      <c r="AA10" s="988"/>
      <c r="AB10" s="988"/>
      <c r="AC10" s="998"/>
      <c r="AD10" s="988"/>
      <c r="AE10" s="260" t="s">
        <v>596</v>
      </c>
      <c r="AF10" s="260" t="s">
        <v>597</v>
      </c>
    </row>
    <row r="11" spans="1:32" s="224" customFormat="1" ht="12.75">
      <c r="A11" s="261" t="s">
        <v>323</v>
      </c>
      <c r="B11" s="261"/>
      <c r="C11" s="262">
        <v>1</v>
      </c>
      <c r="D11" s="262">
        <v>2</v>
      </c>
      <c r="E11" s="263"/>
      <c r="F11" s="262">
        <v>3</v>
      </c>
      <c r="G11" s="262">
        <v>4</v>
      </c>
      <c r="H11" s="262">
        <v>5</v>
      </c>
      <c r="I11" s="263"/>
      <c r="J11" s="262">
        <v>6</v>
      </c>
      <c r="K11" s="234"/>
      <c r="L11" s="262"/>
      <c r="M11" s="262">
        <v>7</v>
      </c>
      <c r="N11" s="262">
        <v>8</v>
      </c>
      <c r="O11" s="263"/>
      <c r="P11" s="262">
        <v>9</v>
      </c>
      <c r="Q11" s="262">
        <v>10</v>
      </c>
      <c r="R11" s="262">
        <v>11</v>
      </c>
      <c r="S11" s="234"/>
      <c r="T11" s="262"/>
      <c r="U11" s="262">
        <v>12</v>
      </c>
      <c r="V11" s="262">
        <v>13</v>
      </c>
      <c r="W11" s="263"/>
      <c r="X11" s="262">
        <v>14</v>
      </c>
      <c r="Y11" s="262"/>
      <c r="Z11" s="262"/>
      <c r="AA11" s="262">
        <v>15</v>
      </c>
      <c r="AB11" s="262">
        <v>16</v>
      </c>
      <c r="AC11" s="263"/>
      <c r="AD11" s="262">
        <v>17</v>
      </c>
      <c r="AE11" s="262">
        <v>18</v>
      </c>
      <c r="AF11" s="262">
        <v>19</v>
      </c>
    </row>
    <row r="12" spans="1:32" ht="27" customHeight="1">
      <c r="A12" s="989" t="s">
        <v>324</v>
      </c>
      <c r="B12" s="989"/>
      <c r="C12" s="264">
        <f>SUM(C13:C75)</f>
        <v>461313</v>
      </c>
      <c r="D12" s="264">
        <f>SUM(D13:D75)</f>
        <v>156190</v>
      </c>
      <c r="E12" s="265"/>
      <c r="F12" s="264">
        <f>SUM(F13:F75)</f>
        <v>305123</v>
      </c>
      <c r="G12" s="266">
        <f>SUM(G13:G75)</f>
        <v>4827.5</v>
      </c>
      <c r="H12" s="266">
        <f>SUM(H13:H75)</f>
        <v>1477.5</v>
      </c>
      <c r="I12" s="265"/>
      <c r="J12" s="266">
        <f>SUM(J13:J75)</f>
        <v>3350</v>
      </c>
      <c r="K12" s="267"/>
      <c r="L12" s="266"/>
      <c r="M12" s="266">
        <f aca="true" t="shared" si="0" ref="M12:R12">SUM(M13:M75)</f>
        <v>6692.5</v>
      </c>
      <c r="N12" s="266">
        <f t="shared" si="0"/>
        <v>2186.5</v>
      </c>
      <c r="O12" s="266">
        <f t="shared" si="0"/>
        <v>2209</v>
      </c>
      <c r="P12" s="266">
        <f t="shared" si="0"/>
        <v>4418</v>
      </c>
      <c r="Q12" s="266">
        <f t="shared" si="0"/>
        <v>4557</v>
      </c>
      <c r="R12" s="266">
        <f t="shared" si="0"/>
        <v>1616</v>
      </c>
      <c r="S12" s="267"/>
      <c r="T12" s="266"/>
      <c r="U12" s="266">
        <f>SUM(U13:U75)</f>
        <v>1375</v>
      </c>
      <c r="V12" s="266">
        <f>SUM(V13:V75)</f>
        <v>457</v>
      </c>
      <c r="W12" s="266">
        <f>SUM(W13:W75)</f>
        <v>459</v>
      </c>
      <c r="X12" s="266">
        <f>SUM(X13:X75)</f>
        <v>918</v>
      </c>
      <c r="Y12" s="266"/>
      <c r="Z12" s="266"/>
      <c r="AA12" s="266">
        <f aca="true" t="shared" si="1" ref="AA12:AF12">SUM(AA13:AA75)</f>
        <v>241</v>
      </c>
      <c r="AB12" s="266">
        <f t="shared" si="1"/>
        <v>83</v>
      </c>
      <c r="AC12" s="266">
        <f t="shared" si="1"/>
        <v>79</v>
      </c>
      <c r="AD12" s="722">
        <f t="shared" si="1"/>
        <v>158</v>
      </c>
      <c r="AE12" s="722">
        <f t="shared" si="1"/>
        <v>60</v>
      </c>
      <c r="AF12" s="722">
        <f t="shared" si="1"/>
        <v>91</v>
      </c>
    </row>
    <row r="13" spans="1:32" s="56" customFormat="1" ht="15.75">
      <c r="A13" s="67">
        <v>1</v>
      </c>
      <c r="B13" s="268" t="s">
        <v>449</v>
      </c>
      <c r="C13" s="152">
        <f aca="true" t="shared" si="2" ref="C13:C44">D13+F13</f>
        <v>8891</v>
      </c>
      <c r="D13" s="9">
        <v>2964</v>
      </c>
      <c r="E13" s="269">
        <f aca="true" t="shared" si="3" ref="E13:E33">(F13/4)*2</f>
        <v>2963.5</v>
      </c>
      <c r="F13" s="9">
        <v>5927</v>
      </c>
      <c r="G13" s="152">
        <f aca="true" t="shared" si="4" ref="G13:G33">H13+J13</f>
        <v>3</v>
      </c>
      <c r="H13" s="9">
        <v>1</v>
      </c>
      <c r="I13" s="269">
        <f aca="true" t="shared" si="5" ref="I13:I33">(J13/4)*2</f>
        <v>1</v>
      </c>
      <c r="J13" s="9">
        <v>2</v>
      </c>
      <c r="K13" s="270">
        <f>M13/'[2]4'!$J$15</f>
        <v>1.1869918699186992</v>
      </c>
      <c r="L13" s="9">
        <f>M13-'[2]4'!$J$15</f>
        <v>23</v>
      </c>
      <c r="M13" s="152">
        <f aca="true" t="shared" si="6" ref="M13:M57">N13+P13</f>
        <v>146</v>
      </c>
      <c r="N13" s="9">
        <v>49</v>
      </c>
      <c r="O13" s="269">
        <f aca="true" t="shared" si="7" ref="O13:O44">(P13/4)*2</f>
        <v>48.5</v>
      </c>
      <c r="P13" s="9">
        <v>97</v>
      </c>
      <c r="Q13" s="9">
        <v>97</v>
      </c>
      <c r="R13" s="271">
        <f aca="true" t="shared" si="8" ref="R13:R44">U13+AA13</f>
        <v>35</v>
      </c>
      <c r="S13" s="272">
        <f>U13/'[2]4'!$N$15</f>
        <v>0.6481481481481481</v>
      </c>
      <c r="T13" s="273">
        <f>U13-'[2]4'!$N$15</f>
        <v>-19</v>
      </c>
      <c r="U13" s="271">
        <f aca="true" t="shared" si="9" ref="U13:U44">V13+X13</f>
        <v>35</v>
      </c>
      <c r="V13" s="274">
        <v>12</v>
      </c>
      <c r="W13" s="275">
        <f aca="true" t="shared" si="10" ref="W13:W44">(X13/4)*2</f>
        <v>11.5</v>
      </c>
      <c r="X13" s="274">
        <v>23</v>
      </c>
      <c r="Y13" s="274"/>
      <c r="Z13" s="274"/>
      <c r="AA13" s="271">
        <f aca="true" t="shared" si="11" ref="AA13:AA44">AB13+AD13</f>
        <v>0</v>
      </c>
      <c r="AB13" s="274">
        <v>0</v>
      </c>
      <c r="AC13" s="275">
        <f aca="true" t="shared" si="12" ref="AC13:AC44">(AD13/4)*2</f>
        <v>0</v>
      </c>
      <c r="AD13" s="271">
        <f>AE13+AF13</f>
        <v>0</v>
      </c>
      <c r="AE13" s="274">
        <v>0</v>
      </c>
      <c r="AF13" s="274">
        <v>0</v>
      </c>
    </row>
    <row r="14" spans="1:33" s="56" customFormat="1" ht="15.75">
      <c r="A14" s="67">
        <v>2</v>
      </c>
      <c r="B14" s="276" t="s">
        <v>534</v>
      </c>
      <c r="C14" s="152">
        <f t="shared" si="2"/>
        <v>5602</v>
      </c>
      <c r="D14" s="9">
        <v>1867</v>
      </c>
      <c r="E14" s="269">
        <f t="shared" si="3"/>
        <v>1867.5</v>
      </c>
      <c r="F14" s="9">
        <v>3735</v>
      </c>
      <c r="G14" s="152">
        <f t="shared" si="4"/>
        <v>132</v>
      </c>
      <c r="H14" s="9">
        <v>44</v>
      </c>
      <c r="I14" s="269">
        <f t="shared" si="5"/>
        <v>44</v>
      </c>
      <c r="J14" s="9">
        <v>88</v>
      </c>
      <c r="K14" s="270">
        <f>M14/'[2]4'!$J$16</f>
        <v>0.7638036809815951</v>
      </c>
      <c r="L14" s="9">
        <f>M14-'[2]4'!$J$16</f>
        <v>-77</v>
      </c>
      <c r="M14" s="152">
        <f t="shared" si="6"/>
        <v>249</v>
      </c>
      <c r="N14" s="9">
        <v>83</v>
      </c>
      <c r="O14" s="269">
        <f t="shared" si="7"/>
        <v>83</v>
      </c>
      <c r="P14" s="9">
        <v>166</v>
      </c>
      <c r="Q14" s="9">
        <v>166</v>
      </c>
      <c r="R14" s="271">
        <f t="shared" si="8"/>
        <v>6</v>
      </c>
      <c r="S14" s="272">
        <f>U14/'[2]4'!$N$16</f>
        <v>0.14285714285714285</v>
      </c>
      <c r="T14" s="273">
        <f>U14-'[2]4'!$N$16</f>
        <v>-18</v>
      </c>
      <c r="U14" s="271">
        <f t="shared" si="9"/>
        <v>3</v>
      </c>
      <c r="V14" s="274">
        <v>1</v>
      </c>
      <c r="W14" s="275">
        <f t="shared" si="10"/>
        <v>1</v>
      </c>
      <c r="X14" s="274">
        <v>2</v>
      </c>
      <c r="Y14" s="274"/>
      <c r="Z14" s="274"/>
      <c r="AA14" s="271">
        <f t="shared" si="11"/>
        <v>3</v>
      </c>
      <c r="AB14" s="274">
        <v>1</v>
      </c>
      <c r="AC14" s="275">
        <f t="shared" si="12"/>
        <v>1</v>
      </c>
      <c r="AD14" s="277">
        <v>2</v>
      </c>
      <c r="AE14" s="278"/>
      <c r="AF14" s="278"/>
      <c r="AG14" s="56" t="s">
        <v>598</v>
      </c>
    </row>
    <row r="15" spans="1:32" s="50" customFormat="1" ht="15.75">
      <c r="A15" s="67">
        <v>3</v>
      </c>
      <c r="B15" s="268" t="s">
        <v>451</v>
      </c>
      <c r="C15" s="279">
        <f t="shared" si="2"/>
        <v>10824</v>
      </c>
      <c r="D15" s="9">
        <v>3608</v>
      </c>
      <c r="E15" s="269">
        <f t="shared" si="3"/>
        <v>3608</v>
      </c>
      <c r="F15" s="9">
        <v>7216</v>
      </c>
      <c r="G15" s="152">
        <f t="shared" si="4"/>
        <v>134</v>
      </c>
      <c r="H15" s="9">
        <v>45</v>
      </c>
      <c r="I15" s="269">
        <f t="shared" si="5"/>
        <v>44.5</v>
      </c>
      <c r="J15" s="9">
        <v>89</v>
      </c>
      <c r="K15" s="270">
        <f>M15/'[2]4'!$J$17</f>
        <v>0.6538461538461539</v>
      </c>
      <c r="L15" s="9">
        <f>M15-'[2]4'!$J$17</f>
        <v>-36</v>
      </c>
      <c r="M15" s="152">
        <f t="shared" si="6"/>
        <v>68</v>
      </c>
      <c r="N15" s="9">
        <v>23</v>
      </c>
      <c r="O15" s="269">
        <f t="shared" si="7"/>
        <v>22.5</v>
      </c>
      <c r="P15" s="9">
        <v>45</v>
      </c>
      <c r="Q15" s="9">
        <f>9+36</f>
        <v>45</v>
      </c>
      <c r="R15" s="271">
        <f t="shared" si="8"/>
        <v>29</v>
      </c>
      <c r="S15" s="272">
        <f>U15/'[2]4'!$N$17</f>
        <v>0.5192307692307693</v>
      </c>
      <c r="T15" s="273">
        <f>U15-'[2]4'!$N$17</f>
        <v>-25</v>
      </c>
      <c r="U15" s="271">
        <f t="shared" si="9"/>
        <v>27</v>
      </c>
      <c r="V15" s="274">
        <v>9</v>
      </c>
      <c r="W15" s="275">
        <f t="shared" si="10"/>
        <v>9</v>
      </c>
      <c r="X15" s="274">
        <v>18</v>
      </c>
      <c r="Y15" s="274"/>
      <c r="Z15" s="274"/>
      <c r="AA15" s="271">
        <f t="shared" si="11"/>
        <v>2</v>
      </c>
      <c r="AB15" s="274">
        <v>0</v>
      </c>
      <c r="AC15" s="275">
        <f t="shared" si="12"/>
        <v>1</v>
      </c>
      <c r="AD15" s="271">
        <f aca="true" t="shared" si="13" ref="AD15:AD25">AE15+AF15</f>
        <v>2</v>
      </c>
      <c r="AE15" s="274">
        <v>1</v>
      </c>
      <c r="AF15" s="274">
        <v>1</v>
      </c>
    </row>
    <row r="16" spans="1:32" s="56" customFormat="1" ht="15.75">
      <c r="A16" s="67">
        <v>4</v>
      </c>
      <c r="B16" s="268" t="s">
        <v>452</v>
      </c>
      <c r="C16" s="152">
        <f t="shared" si="2"/>
        <v>1346</v>
      </c>
      <c r="D16" s="9">
        <v>449</v>
      </c>
      <c r="E16" s="269">
        <f t="shared" si="3"/>
        <v>448.5</v>
      </c>
      <c r="F16" s="9">
        <v>897</v>
      </c>
      <c r="G16" s="152">
        <f t="shared" si="4"/>
        <v>6</v>
      </c>
      <c r="H16" s="9">
        <v>2</v>
      </c>
      <c r="I16" s="269">
        <f t="shared" si="5"/>
        <v>2</v>
      </c>
      <c r="J16" s="9">
        <v>4</v>
      </c>
      <c r="K16" s="270">
        <f>M16/'[2]4'!$J$18</f>
        <v>0.5</v>
      </c>
      <c r="L16" s="9">
        <f>M16-'[2]4'!$J$18</f>
        <v>-3</v>
      </c>
      <c r="M16" s="152">
        <f t="shared" si="6"/>
        <v>3</v>
      </c>
      <c r="N16" s="9">
        <v>1</v>
      </c>
      <c r="O16" s="269">
        <f t="shared" si="7"/>
        <v>1</v>
      </c>
      <c r="P16" s="9">
        <v>2</v>
      </c>
      <c r="Q16" s="9">
        <f>0+2</f>
        <v>2</v>
      </c>
      <c r="R16" s="271">
        <f t="shared" si="8"/>
        <v>32</v>
      </c>
      <c r="S16" s="272">
        <f>U16/'[2]4'!$N$18</f>
        <v>0.5789473684210527</v>
      </c>
      <c r="T16" s="273">
        <f>U16-'[2]4'!$N$18</f>
        <v>-8</v>
      </c>
      <c r="U16" s="271">
        <f t="shared" si="9"/>
        <v>11</v>
      </c>
      <c r="V16" s="274">
        <v>4</v>
      </c>
      <c r="W16" s="275">
        <f t="shared" si="10"/>
        <v>3.5</v>
      </c>
      <c r="X16" s="274">
        <v>7</v>
      </c>
      <c r="Y16" s="274"/>
      <c r="Z16" s="274"/>
      <c r="AA16" s="271">
        <f t="shared" si="11"/>
        <v>21</v>
      </c>
      <c r="AB16" s="274">
        <v>7</v>
      </c>
      <c r="AC16" s="275">
        <f t="shared" si="12"/>
        <v>7</v>
      </c>
      <c r="AD16" s="271">
        <f t="shared" si="13"/>
        <v>14</v>
      </c>
      <c r="AE16" s="274">
        <v>5</v>
      </c>
      <c r="AF16" s="274">
        <v>9</v>
      </c>
    </row>
    <row r="17" spans="1:32" s="56" customFormat="1" ht="15.75">
      <c r="A17" s="67">
        <v>5</v>
      </c>
      <c r="B17" s="268" t="s">
        <v>453</v>
      </c>
      <c r="C17" s="152">
        <f t="shared" si="2"/>
        <v>5969</v>
      </c>
      <c r="D17" s="9">
        <v>1990</v>
      </c>
      <c r="E17" s="269">
        <f t="shared" si="3"/>
        <v>1989.5</v>
      </c>
      <c r="F17" s="9">
        <v>3979</v>
      </c>
      <c r="G17" s="152">
        <f t="shared" si="4"/>
        <v>3</v>
      </c>
      <c r="H17" s="9">
        <v>1</v>
      </c>
      <c r="I17" s="269">
        <f t="shared" si="5"/>
        <v>1</v>
      </c>
      <c r="J17" s="9">
        <v>2</v>
      </c>
      <c r="K17" s="270">
        <f>M17/'[2]4'!$J$19</f>
        <v>0.4603174603174603</v>
      </c>
      <c r="L17" s="9">
        <f>M17-'[2]4'!$J$19</f>
        <v>-102</v>
      </c>
      <c r="M17" s="152">
        <f t="shared" si="6"/>
        <v>87</v>
      </c>
      <c r="N17" s="9">
        <v>29</v>
      </c>
      <c r="O17" s="269">
        <f t="shared" si="7"/>
        <v>29</v>
      </c>
      <c r="P17" s="9">
        <v>58</v>
      </c>
      <c r="Q17" s="9">
        <f>5+53</f>
        <v>58</v>
      </c>
      <c r="R17" s="271">
        <f t="shared" si="8"/>
        <v>11</v>
      </c>
      <c r="S17" s="272">
        <f>U17/'[2]4'!$N$19</f>
        <v>1.375</v>
      </c>
      <c r="T17" s="273">
        <f>U17-'[2]4'!$N$19</f>
        <v>3</v>
      </c>
      <c r="U17" s="271">
        <f t="shared" si="9"/>
        <v>11</v>
      </c>
      <c r="V17" s="274">
        <v>4</v>
      </c>
      <c r="W17" s="275">
        <f t="shared" si="10"/>
        <v>3.5</v>
      </c>
      <c r="X17" s="274">
        <v>7</v>
      </c>
      <c r="Y17" s="274"/>
      <c r="Z17" s="274"/>
      <c r="AA17" s="271">
        <f t="shared" si="11"/>
        <v>0</v>
      </c>
      <c r="AB17" s="274">
        <v>0</v>
      </c>
      <c r="AC17" s="275">
        <f t="shared" si="12"/>
        <v>0</v>
      </c>
      <c r="AD17" s="271">
        <f t="shared" si="13"/>
        <v>0</v>
      </c>
      <c r="AE17" s="274">
        <v>0</v>
      </c>
      <c r="AF17" s="274">
        <v>0</v>
      </c>
    </row>
    <row r="18" spans="1:32" s="56" customFormat="1" ht="15.75">
      <c r="A18" s="67">
        <v>6</v>
      </c>
      <c r="B18" s="268" t="s">
        <v>454</v>
      </c>
      <c r="C18" s="152">
        <f t="shared" si="2"/>
        <v>6996</v>
      </c>
      <c r="D18" s="9">
        <v>2332</v>
      </c>
      <c r="E18" s="269">
        <f t="shared" si="3"/>
        <v>2332</v>
      </c>
      <c r="F18" s="9">
        <v>4664</v>
      </c>
      <c r="G18" s="152">
        <f t="shared" si="4"/>
        <v>136</v>
      </c>
      <c r="H18" s="9">
        <v>45</v>
      </c>
      <c r="I18" s="269">
        <f t="shared" si="5"/>
        <v>45.5</v>
      </c>
      <c r="J18" s="9">
        <v>91</v>
      </c>
      <c r="K18" s="270">
        <f>M18/'[2]4'!$J$20</f>
        <v>0.631578947368421</v>
      </c>
      <c r="L18" s="9">
        <f>M18-'[2]4'!$J$20</f>
        <v>-21</v>
      </c>
      <c r="M18" s="152">
        <f t="shared" si="6"/>
        <v>36</v>
      </c>
      <c r="N18" s="9">
        <v>12</v>
      </c>
      <c r="O18" s="269">
        <f t="shared" si="7"/>
        <v>12</v>
      </c>
      <c r="P18" s="9">
        <v>24</v>
      </c>
      <c r="Q18" s="9">
        <f>10+14</f>
        <v>24</v>
      </c>
      <c r="R18" s="271">
        <f t="shared" si="8"/>
        <v>13</v>
      </c>
      <c r="S18" s="272">
        <f>U18/'[2]4'!$N$20</f>
        <v>0.3611111111111111</v>
      </c>
      <c r="T18" s="273">
        <f>U18-'[2]4'!$N$20</f>
        <v>-23</v>
      </c>
      <c r="U18" s="271">
        <f t="shared" si="9"/>
        <v>13</v>
      </c>
      <c r="V18" s="274">
        <v>4</v>
      </c>
      <c r="W18" s="275">
        <f t="shared" si="10"/>
        <v>4.5</v>
      </c>
      <c r="X18" s="274">
        <v>9</v>
      </c>
      <c r="Y18" s="274"/>
      <c r="Z18" s="274"/>
      <c r="AA18" s="271">
        <f t="shared" si="11"/>
        <v>0</v>
      </c>
      <c r="AB18" s="274">
        <v>0</v>
      </c>
      <c r="AC18" s="275">
        <f t="shared" si="12"/>
        <v>0</v>
      </c>
      <c r="AD18" s="271">
        <f t="shared" si="13"/>
        <v>0</v>
      </c>
      <c r="AE18" s="274">
        <v>0</v>
      </c>
      <c r="AF18" s="274">
        <v>0</v>
      </c>
    </row>
    <row r="19" spans="1:32" s="56" customFormat="1" ht="15.75">
      <c r="A19" s="67">
        <v>7</v>
      </c>
      <c r="B19" s="268" t="s">
        <v>455</v>
      </c>
      <c r="C19" s="152">
        <f t="shared" si="2"/>
        <v>7155</v>
      </c>
      <c r="D19" s="9">
        <v>2385</v>
      </c>
      <c r="E19" s="269">
        <f t="shared" si="3"/>
        <v>2385</v>
      </c>
      <c r="F19" s="9">
        <v>4770</v>
      </c>
      <c r="G19" s="152">
        <f t="shared" si="4"/>
        <v>33</v>
      </c>
      <c r="H19" s="9">
        <v>11</v>
      </c>
      <c r="I19" s="269">
        <f t="shared" si="5"/>
        <v>11</v>
      </c>
      <c r="J19" s="9">
        <v>22</v>
      </c>
      <c r="K19" s="270">
        <f>M19/'[2]4'!$J$21</f>
        <v>0.42276422764227645</v>
      </c>
      <c r="L19" s="9">
        <f>M19-'[2]4'!$J$21</f>
        <v>-142</v>
      </c>
      <c r="M19" s="152">
        <f t="shared" si="6"/>
        <v>104</v>
      </c>
      <c r="N19" s="9">
        <v>35</v>
      </c>
      <c r="O19" s="269">
        <f t="shared" si="7"/>
        <v>34.5</v>
      </c>
      <c r="P19" s="9">
        <v>69</v>
      </c>
      <c r="Q19" s="9">
        <f>5+64</f>
        <v>69</v>
      </c>
      <c r="R19" s="271">
        <f t="shared" si="8"/>
        <v>11</v>
      </c>
      <c r="S19" s="272">
        <f>U19/'[2]4'!$N$21</f>
        <v>0.4230769230769231</v>
      </c>
      <c r="T19" s="273">
        <f>U19-'[2]4'!$N$21</f>
        <v>-15</v>
      </c>
      <c r="U19" s="271">
        <f t="shared" si="9"/>
        <v>11</v>
      </c>
      <c r="V19" s="274">
        <v>0</v>
      </c>
      <c r="W19" s="275">
        <f t="shared" si="10"/>
        <v>5.5</v>
      </c>
      <c r="X19" s="274">
        <v>11</v>
      </c>
      <c r="Y19" s="274"/>
      <c r="Z19" s="274"/>
      <c r="AA19" s="271">
        <f t="shared" si="11"/>
        <v>0</v>
      </c>
      <c r="AB19" s="274">
        <v>0</v>
      </c>
      <c r="AC19" s="275">
        <f t="shared" si="12"/>
        <v>0</v>
      </c>
      <c r="AD19" s="271">
        <f t="shared" si="13"/>
        <v>0</v>
      </c>
      <c r="AE19" s="274">
        <v>0</v>
      </c>
      <c r="AF19" s="274">
        <v>0</v>
      </c>
    </row>
    <row r="20" spans="1:32" s="56" customFormat="1" ht="15.75">
      <c r="A20" s="67">
        <v>8</v>
      </c>
      <c r="B20" s="268" t="s">
        <v>456</v>
      </c>
      <c r="C20" s="152">
        <f t="shared" si="2"/>
        <v>7215</v>
      </c>
      <c r="D20" s="9">
        <v>2405</v>
      </c>
      <c r="E20" s="269">
        <f t="shared" si="3"/>
        <v>2405</v>
      </c>
      <c r="F20" s="9">
        <v>4810</v>
      </c>
      <c r="G20" s="152">
        <f t="shared" si="4"/>
        <v>8</v>
      </c>
      <c r="H20" s="9">
        <v>3</v>
      </c>
      <c r="I20" s="269">
        <f t="shared" si="5"/>
        <v>2.5</v>
      </c>
      <c r="J20" s="9">
        <v>5</v>
      </c>
      <c r="K20" s="270">
        <f>M20/'[2]4'!$J$22</f>
        <v>0.5517241379310345</v>
      </c>
      <c r="L20" s="9">
        <f>M20-'[2]4'!$J$22</f>
        <v>-39</v>
      </c>
      <c r="M20" s="152">
        <f t="shared" si="6"/>
        <v>48</v>
      </c>
      <c r="N20" s="9">
        <v>16</v>
      </c>
      <c r="O20" s="269">
        <f t="shared" si="7"/>
        <v>16</v>
      </c>
      <c r="P20" s="9">
        <v>32</v>
      </c>
      <c r="Q20" s="9">
        <f>13+19</f>
        <v>32</v>
      </c>
      <c r="R20" s="271">
        <f t="shared" si="8"/>
        <v>5</v>
      </c>
      <c r="S20" s="272">
        <f>U20/'[2]4'!$N$22</f>
        <v>0.22727272727272727</v>
      </c>
      <c r="T20" s="273">
        <f>U20-'[2]4'!$N$22</f>
        <v>-17</v>
      </c>
      <c r="U20" s="271">
        <f t="shared" si="9"/>
        <v>5</v>
      </c>
      <c r="V20" s="274">
        <v>2</v>
      </c>
      <c r="W20" s="275">
        <f t="shared" si="10"/>
        <v>1.5</v>
      </c>
      <c r="X20" s="274">
        <v>3</v>
      </c>
      <c r="Y20" s="274"/>
      <c r="Z20" s="274"/>
      <c r="AA20" s="271">
        <f t="shared" si="11"/>
        <v>0</v>
      </c>
      <c r="AB20" s="274">
        <v>0</v>
      </c>
      <c r="AC20" s="275">
        <f t="shared" si="12"/>
        <v>0</v>
      </c>
      <c r="AD20" s="271">
        <f t="shared" si="13"/>
        <v>0</v>
      </c>
      <c r="AE20" s="274">
        <v>0</v>
      </c>
      <c r="AF20" s="274">
        <v>0</v>
      </c>
    </row>
    <row r="21" spans="1:32" s="56" customFormat="1" ht="15.75">
      <c r="A21" s="67">
        <v>9</v>
      </c>
      <c r="B21" s="268" t="s">
        <v>457</v>
      </c>
      <c r="C21" s="152">
        <f t="shared" si="2"/>
        <v>5017</v>
      </c>
      <c r="D21" s="9">
        <v>1672</v>
      </c>
      <c r="E21" s="269">
        <f t="shared" si="3"/>
        <v>1672.5</v>
      </c>
      <c r="F21" s="9">
        <v>3345</v>
      </c>
      <c r="G21" s="152">
        <f t="shared" si="4"/>
        <v>49</v>
      </c>
      <c r="H21" s="9">
        <v>16</v>
      </c>
      <c r="I21" s="269">
        <f t="shared" si="5"/>
        <v>16.5</v>
      </c>
      <c r="J21" s="9">
        <v>33</v>
      </c>
      <c r="K21" s="270">
        <f>M21/'[2]4'!$J$23</f>
        <v>0.45251396648044695</v>
      </c>
      <c r="L21" s="9">
        <f>M21-'[2]4'!$J$23</f>
        <v>-98</v>
      </c>
      <c r="M21" s="152">
        <f t="shared" si="6"/>
        <v>81</v>
      </c>
      <c r="N21" s="9">
        <v>27</v>
      </c>
      <c r="O21" s="269">
        <f t="shared" si="7"/>
        <v>27</v>
      </c>
      <c r="P21" s="9">
        <v>54</v>
      </c>
      <c r="Q21" s="9">
        <f>4+50</f>
        <v>54</v>
      </c>
      <c r="R21" s="271">
        <f t="shared" si="8"/>
        <v>34</v>
      </c>
      <c r="S21" s="272">
        <f>U21/'[2]4'!$N$23</f>
        <v>1</v>
      </c>
      <c r="T21" s="273">
        <f>U21-'[2]4'!$N$23</f>
        <v>0</v>
      </c>
      <c r="U21" s="271">
        <f t="shared" si="9"/>
        <v>24</v>
      </c>
      <c r="V21" s="274">
        <v>8</v>
      </c>
      <c r="W21" s="275">
        <f t="shared" si="10"/>
        <v>8</v>
      </c>
      <c r="X21" s="274">
        <v>16</v>
      </c>
      <c r="Y21" s="274"/>
      <c r="Z21" s="274"/>
      <c r="AA21" s="271">
        <f t="shared" si="11"/>
        <v>10</v>
      </c>
      <c r="AB21" s="274">
        <v>3</v>
      </c>
      <c r="AC21" s="275">
        <f t="shared" si="12"/>
        <v>3.5</v>
      </c>
      <c r="AD21" s="271">
        <f t="shared" si="13"/>
        <v>7</v>
      </c>
      <c r="AE21" s="274">
        <v>3</v>
      </c>
      <c r="AF21" s="274">
        <v>4</v>
      </c>
    </row>
    <row r="22" spans="1:32" s="56" customFormat="1" ht="15.75">
      <c r="A22" s="67">
        <v>10</v>
      </c>
      <c r="B22" s="268" t="s">
        <v>362</v>
      </c>
      <c r="C22" s="152">
        <f t="shared" si="2"/>
        <v>5381</v>
      </c>
      <c r="D22" s="9">
        <v>1794</v>
      </c>
      <c r="E22" s="269">
        <f t="shared" si="3"/>
        <v>1793.5</v>
      </c>
      <c r="F22" s="9">
        <v>3587</v>
      </c>
      <c r="G22" s="152">
        <f t="shared" si="4"/>
        <v>36</v>
      </c>
      <c r="H22" s="9">
        <v>12</v>
      </c>
      <c r="I22" s="269">
        <f t="shared" si="5"/>
        <v>12</v>
      </c>
      <c r="J22" s="9">
        <v>24</v>
      </c>
      <c r="K22" s="270">
        <f>M22/'[2]4'!$J$24</f>
        <v>0.4430379746835443</v>
      </c>
      <c r="L22" s="9">
        <f>M22-'[2]4'!$J$24</f>
        <v>-44</v>
      </c>
      <c r="M22" s="152">
        <f t="shared" si="6"/>
        <v>35</v>
      </c>
      <c r="N22" s="280">
        <v>12</v>
      </c>
      <c r="O22" s="269">
        <f t="shared" si="7"/>
        <v>11.5</v>
      </c>
      <c r="P22" s="9">
        <v>23</v>
      </c>
      <c r="Q22" s="9">
        <f>7+16</f>
        <v>23</v>
      </c>
      <c r="R22" s="271">
        <f t="shared" si="8"/>
        <v>11</v>
      </c>
      <c r="S22" s="272">
        <f>U22/'[2]4'!$N$24</f>
        <v>0.8181818181818182</v>
      </c>
      <c r="T22" s="273">
        <f>U22-'[2]4'!$N$24</f>
        <v>-2</v>
      </c>
      <c r="U22" s="271">
        <f t="shared" si="9"/>
        <v>9</v>
      </c>
      <c r="V22" s="274">
        <v>3</v>
      </c>
      <c r="W22" s="275">
        <f t="shared" si="10"/>
        <v>3</v>
      </c>
      <c r="X22" s="274">
        <v>6</v>
      </c>
      <c r="Y22" s="274"/>
      <c r="Z22" s="274"/>
      <c r="AA22" s="271">
        <f t="shared" si="11"/>
        <v>2</v>
      </c>
      <c r="AB22" s="281">
        <v>1</v>
      </c>
      <c r="AC22" s="275">
        <f t="shared" si="12"/>
        <v>0.5</v>
      </c>
      <c r="AD22" s="271">
        <f t="shared" si="13"/>
        <v>1</v>
      </c>
      <c r="AE22" s="274">
        <v>1</v>
      </c>
      <c r="AF22" s="274"/>
    </row>
    <row r="23" spans="1:32" s="56" customFormat="1" ht="15.75">
      <c r="A23" s="67">
        <v>11</v>
      </c>
      <c r="B23" s="268" t="s">
        <v>363</v>
      </c>
      <c r="C23" s="152">
        <f t="shared" si="2"/>
        <v>3831</v>
      </c>
      <c r="D23" s="9">
        <v>1277</v>
      </c>
      <c r="E23" s="269">
        <f t="shared" si="3"/>
        <v>1277</v>
      </c>
      <c r="F23" s="9">
        <v>2554</v>
      </c>
      <c r="G23" s="152">
        <f t="shared" si="4"/>
        <v>6</v>
      </c>
      <c r="H23" s="9">
        <v>3</v>
      </c>
      <c r="I23" s="269">
        <f t="shared" si="5"/>
        <v>1.5</v>
      </c>
      <c r="J23" s="9">
        <v>3</v>
      </c>
      <c r="K23" s="270">
        <f>M23/'[2]4'!$J$25</f>
        <v>0.66796875</v>
      </c>
      <c r="L23" s="9">
        <f>M23-'[2]4'!$J$25</f>
        <v>-85</v>
      </c>
      <c r="M23" s="152">
        <f t="shared" si="6"/>
        <v>171</v>
      </c>
      <c r="N23" s="9">
        <v>57</v>
      </c>
      <c r="O23" s="269">
        <f t="shared" si="7"/>
        <v>57</v>
      </c>
      <c r="P23" s="9">
        <v>114</v>
      </c>
      <c r="Q23" s="9">
        <f>13+101</f>
        <v>114</v>
      </c>
      <c r="R23" s="271">
        <f t="shared" si="8"/>
        <v>8</v>
      </c>
      <c r="S23" s="272">
        <f>U23/'[2]4'!$N$25</f>
        <v>0.38095238095238093</v>
      </c>
      <c r="T23" s="273">
        <f>U23-'[2]4'!$N$25</f>
        <v>-13</v>
      </c>
      <c r="U23" s="271">
        <f t="shared" si="9"/>
        <v>8</v>
      </c>
      <c r="V23" s="274">
        <v>3</v>
      </c>
      <c r="W23" s="275">
        <f t="shared" si="10"/>
        <v>2.5</v>
      </c>
      <c r="X23" s="274">
        <v>5</v>
      </c>
      <c r="Y23" s="274"/>
      <c r="Z23" s="274"/>
      <c r="AA23" s="271">
        <f t="shared" si="11"/>
        <v>0</v>
      </c>
      <c r="AB23" s="274">
        <v>0</v>
      </c>
      <c r="AC23" s="275">
        <f t="shared" si="12"/>
        <v>0</v>
      </c>
      <c r="AD23" s="271">
        <f t="shared" si="13"/>
        <v>0</v>
      </c>
      <c r="AE23" s="274">
        <v>0</v>
      </c>
      <c r="AF23" s="274">
        <v>0</v>
      </c>
    </row>
    <row r="24" spans="1:33" s="56" customFormat="1" ht="15.75">
      <c r="A24" s="67">
        <v>12</v>
      </c>
      <c r="B24" s="268" t="s">
        <v>364</v>
      </c>
      <c r="C24" s="152">
        <f t="shared" si="2"/>
        <v>8187</v>
      </c>
      <c r="D24" s="9">
        <v>2729</v>
      </c>
      <c r="E24" s="269">
        <f t="shared" si="3"/>
        <v>2729</v>
      </c>
      <c r="F24" s="9">
        <v>5458</v>
      </c>
      <c r="G24" s="152">
        <f t="shared" si="4"/>
        <v>96</v>
      </c>
      <c r="H24" s="9">
        <v>32</v>
      </c>
      <c r="I24" s="269">
        <f t="shared" si="5"/>
        <v>32</v>
      </c>
      <c r="J24" s="9">
        <v>64</v>
      </c>
      <c r="K24" s="270">
        <f>M24/'[2]4'!$J$26</f>
        <v>0.22602739726027396</v>
      </c>
      <c r="L24" s="9">
        <f>M24-'[2]4'!$J$26</f>
        <v>-113</v>
      </c>
      <c r="M24" s="152">
        <f t="shared" si="6"/>
        <v>33</v>
      </c>
      <c r="N24" s="9">
        <v>11</v>
      </c>
      <c r="O24" s="269">
        <f t="shared" si="7"/>
        <v>11</v>
      </c>
      <c r="P24" s="282">
        <v>22</v>
      </c>
      <c r="Q24" s="282">
        <f>4+67</f>
        <v>71</v>
      </c>
      <c r="R24" s="271">
        <f t="shared" si="8"/>
        <v>15</v>
      </c>
      <c r="S24" s="272">
        <f>U24/'[2]4'!$N$26</f>
        <v>0.45</v>
      </c>
      <c r="T24" s="273">
        <f>U24-'[2]4'!$N$26</f>
        <v>-11</v>
      </c>
      <c r="U24" s="271">
        <f t="shared" si="9"/>
        <v>9</v>
      </c>
      <c r="V24" s="274">
        <v>4</v>
      </c>
      <c r="W24" s="275">
        <f t="shared" si="10"/>
        <v>2.5</v>
      </c>
      <c r="X24" s="274">
        <v>5</v>
      </c>
      <c r="Y24" s="274"/>
      <c r="Z24" s="274"/>
      <c r="AA24" s="271">
        <f t="shared" si="11"/>
        <v>6</v>
      </c>
      <c r="AB24" s="274">
        <v>2</v>
      </c>
      <c r="AC24" s="275">
        <f t="shared" si="12"/>
        <v>2</v>
      </c>
      <c r="AD24" s="271">
        <f t="shared" si="13"/>
        <v>4</v>
      </c>
      <c r="AE24" s="274">
        <v>0</v>
      </c>
      <c r="AF24" s="274">
        <v>4</v>
      </c>
      <c r="AG24" s="56" t="s">
        <v>599</v>
      </c>
    </row>
    <row r="25" spans="1:32" s="50" customFormat="1" ht="15.75">
      <c r="A25" s="67">
        <v>13</v>
      </c>
      <c r="B25" s="268" t="s">
        <v>365</v>
      </c>
      <c r="C25" s="152">
        <f t="shared" si="2"/>
        <v>7120</v>
      </c>
      <c r="D25" s="9">
        <v>2373</v>
      </c>
      <c r="E25" s="269">
        <f t="shared" si="3"/>
        <v>2373.5</v>
      </c>
      <c r="F25" s="9">
        <v>4747</v>
      </c>
      <c r="G25" s="152">
        <f t="shared" si="4"/>
        <v>54</v>
      </c>
      <c r="H25" s="9">
        <v>18</v>
      </c>
      <c r="I25" s="269">
        <f t="shared" si="5"/>
        <v>18</v>
      </c>
      <c r="J25" s="9">
        <v>36</v>
      </c>
      <c r="K25" s="270">
        <f>M25/'[2]4'!$J$27</f>
        <v>0.5792410714285714</v>
      </c>
      <c r="L25" s="9">
        <f>M25-'[2]4'!$J$27</f>
        <v>-188.5</v>
      </c>
      <c r="M25" s="152">
        <f t="shared" si="6"/>
        <v>259.5</v>
      </c>
      <c r="N25" s="9">
        <v>86.5</v>
      </c>
      <c r="O25" s="269">
        <f t="shared" si="7"/>
        <v>86.5</v>
      </c>
      <c r="P25" s="9">
        <v>173</v>
      </c>
      <c r="Q25" s="9">
        <f>15+158</f>
        <v>173</v>
      </c>
      <c r="R25" s="271">
        <f t="shared" si="8"/>
        <v>30</v>
      </c>
      <c r="S25" s="272">
        <f>U25/'[2]4'!$N$27</f>
        <v>0.13740458015267176</v>
      </c>
      <c r="T25" s="273">
        <f>U25-'[2]4'!$N$27</f>
        <v>-113</v>
      </c>
      <c r="U25" s="271">
        <f t="shared" si="9"/>
        <v>18</v>
      </c>
      <c r="V25" s="274">
        <v>6</v>
      </c>
      <c r="W25" s="275">
        <f t="shared" si="10"/>
        <v>6</v>
      </c>
      <c r="X25" s="274">
        <v>12</v>
      </c>
      <c r="Y25" s="274"/>
      <c r="Z25" s="274"/>
      <c r="AA25" s="271">
        <f t="shared" si="11"/>
        <v>12</v>
      </c>
      <c r="AB25" s="274">
        <v>4</v>
      </c>
      <c r="AC25" s="275">
        <f t="shared" si="12"/>
        <v>4</v>
      </c>
      <c r="AD25" s="271">
        <f t="shared" si="13"/>
        <v>8</v>
      </c>
      <c r="AE25" s="274">
        <v>3</v>
      </c>
      <c r="AF25" s="274">
        <v>5</v>
      </c>
    </row>
    <row r="26" spans="1:33" s="50" customFormat="1" ht="15.75">
      <c r="A26" s="67">
        <v>14</v>
      </c>
      <c r="B26" s="268" t="s">
        <v>366</v>
      </c>
      <c r="C26" s="152">
        <f t="shared" si="2"/>
        <v>1437</v>
      </c>
      <c r="D26" s="9">
        <v>479</v>
      </c>
      <c r="E26" s="269">
        <f t="shared" si="3"/>
        <v>479</v>
      </c>
      <c r="F26" s="9">
        <v>958</v>
      </c>
      <c r="G26" s="152">
        <f t="shared" si="4"/>
        <v>22</v>
      </c>
      <c r="H26" s="9">
        <v>7</v>
      </c>
      <c r="I26" s="269">
        <f t="shared" si="5"/>
        <v>7.5</v>
      </c>
      <c r="J26" s="9">
        <v>15</v>
      </c>
      <c r="K26" s="270">
        <f>M26/'[2]4'!$J$28</f>
        <v>0.6</v>
      </c>
      <c r="L26" s="9">
        <f>M26-'[2]4'!$J$28</f>
        <v>-2</v>
      </c>
      <c r="M26" s="152">
        <f t="shared" si="6"/>
        <v>3</v>
      </c>
      <c r="N26" s="9">
        <v>2</v>
      </c>
      <c r="O26" s="269">
        <f t="shared" si="7"/>
        <v>0.5</v>
      </c>
      <c r="P26" s="9">
        <v>1</v>
      </c>
      <c r="Q26" s="9">
        <v>0</v>
      </c>
      <c r="R26" s="271">
        <f t="shared" si="8"/>
        <v>5</v>
      </c>
      <c r="S26" s="272">
        <f>U26/'[2]4'!$N$28</f>
        <v>0.75</v>
      </c>
      <c r="T26" s="273">
        <f>U26-'[2]4'!$N$28</f>
        <v>-1</v>
      </c>
      <c r="U26" s="271">
        <f t="shared" si="9"/>
        <v>3</v>
      </c>
      <c r="V26" s="274">
        <v>1</v>
      </c>
      <c r="W26" s="275">
        <f t="shared" si="10"/>
        <v>1</v>
      </c>
      <c r="X26" s="274">
        <v>2</v>
      </c>
      <c r="Y26" s="274"/>
      <c r="Z26" s="274"/>
      <c r="AA26" s="271">
        <f t="shared" si="11"/>
        <v>2</v>
      </c>
      <c r="AB26" s="274"/>
      <c r="AC26" s="275">
        <f t="shared" si="12"/>
        <v>1</v>
      </c>
      <c r="AD26" s="277">
        <v>2</v>
      </c>
      <c r="AE26" s="278"/>
      <c r="AF26" s="278"/>
      <c r="AG26" s="56" t="s">
        <v>600</v>
      </c>
    </row>
    <row r="27" spans="1:33" s="56" customFormat="1" ht="15.75">
      <c r="A27" s="67">
        <v>15</v>
      </c>
      <c r="B27" s="268" t="s">
        <v>367</v>
      </c>
      <c r="C27" s="152">
        <f t="shared" si="2"/>
        <v>3470</v>
      </c>
      <c r="D27" s="9">
        <v>1011</v>
      </c>
      <c r="E27" s="269">
        <f t="shared" si="3"/>
        <v>1229.5</v>
      </c>
      <c r="F27" s="9">
        <v>2459</v>
      </c>
      <c r="G27" s="152">
        <f t="shared" si="4"/>
        <v>18</v>
      </c>
      <c r="H27" s="9">
        <v>6</v>
      </c>
      <c r="I27" s="269">
        <f t="shared" si="5"/>
        <v>6</v>
      </c>
      <c r="J27" s="9">
        <v>12</v>
      </c>
      <c r="K27" s="270">
        <f>M27/'[2]4'!$J$29</f>
        <v>0.6143617021276596</v>
      </c>
      <c r="L27" s="9">
        <f>M27-'[2]4'!$J$29</f>
        <v>-72.5</v>
      </c>
      <c r="M27" s="152">
        <f t="shared" si="6"/>
        <v>115.5</v>
      </c>
      <c r="N27" s="9">
        <v>38.5</v>
      </c>
      <c r="O27" s="269">
        <f t="shared" si="7"/>
        <v>38.5</v>
      </c>
      <c r="P27" s="9">
        <v>77</v>
      </c>
      <c r="Q27" s="9">
        <f>13+64</f>
        <v>77</v>
      </c>
      <c r="R27" s="271">
        <f t="shared" si="8"/>
        <v>23.5</v>
      </c>
      <c r="S27" s="272">
        <f>U27/'[2]4'!$N$29</f>
        <v>0.7037037037037037</v>
      </c>
      <c r="T27" s="273">
        <f>U27-'[2]4'!$N$29</f>
        <v>-8</v>
      </c>
      <c r="U27" s="271">
        <f t="shared" si="9"/>
        <v>19</v>
      </c>
      <c r="V27" s="281">
        <v>6</v>
      </c>
      <c r="W27" s="275">
        <f t="shared" si="10"/>
        <v>6.5</v>
      </c>
      <c r="X27" s="278">
        <v>13</v>
      </c>
      <c r="Y27" s="283"/>
      <c r="Z27" s="283"/>
      <c r="AA27" s="271">
        <f t="shared" si="11"/>
        <v>4.5</v>
      </c>
      <c r="AB27" s="274">
        <v>1.5</v>
      </c>
      <c r="AC27" s="275">
        <f t="shared" si="12"/>
        <v>1.5</v>
      </c>
      <c r="AD27" s="271">
        <f aca="true" t="shared" si="14" ref="AD27:AD65">AE27+AF27</f>
        <v>3</v>
      </c>
      <c r="AE27" s="274">
        <v>3</v>
      </c>
      <c r="AF27" s="274">
        <v>0</v>
      </c>
      <c r="AG27" s="56" t="s">
        <v>601</v>
      </c>
    </row>
    <row r="28" spans="1:32" s="56" customFormat="1" ht="15.75">
      <c r="A28" s="67">
        <v>16</v>
      </c>
      <c r="B28" s="268" t="s">
        <v>368</v>
      </c>
      <c r="C28" s="152">
        <f t="shared" si="2"/>
        <v>8500</v>
      </c>
      <c r="D28" s="9">
        <v>2833</v>
      </c>
      <c r="E28" s="269">
        <f t="shared" si="3"/>
        <v>2833.5</v>
      </c>
      <c r="F28" s="9">
        <v>5667</v>
      </c>
      <c r="G28" s="152">
        <f t="shared" si="4"/>
        <v>147</v>
      </c>
      <c r="H28" s="9">
        <v>49</v>
      </c>
      <c r="I28" s="269">
        <f t="shared" si="5"/>
        <v>49</v>
      </c>
      <c r="J28" s="9">
        <v>98</v>
      </c>
      <c r="K28" s="270">
        <f>M28/'[2]4'!$J$30</f>
        <v>0.6235294117647059</v>
      </c>
      <c r="L28" s="9">
        <f>M28-'[2]4'!$J$30</f>
        <v>-32</v>
      </c>
      <c r="M28" s="152">
        <f t="shared" si="6"/>
        <v>53</v>
      </c>
      <c r="N28" s="9">
        <v>18</v>
      </c>
      <c r="O28" s="269">
        <f t="shared" si="7"/>
        <v>17.5</v>
      </c>
      <c r="P28" s="9">
        <v>35</v>
      </c>
      <c r="Q28" s="9">
        <f>1+34</f>
        <v>35</v>
      </c>
      <c r="R28" s="271">
        <f t="shared" si="8"/>
        <v>9</v>
      </c>
      <c r="S28" s="272">
        <f>U28/'[2]4'!$N$30</f>
        <v>0.5</v>
      </c>
      <c r="T28" s="273">
        <f>U28-'[2]4'!$N$30</f>
        <v>-9</v>
      </c>
      <c r="U28" s="271">
        <f t="shared" si="9"/>
        <v>9</v>
      </c>
      <c r="V28" s="274">
        <v>1</v>
      </c>
      <c r="W28" s="275">
        <f t="shared" si="10"/>
        <v>4</v>
      </c>
      <c r="X28" s="274">
        <v>8</v>
      </c>
      <c r="Y28" s="274"/>
      <c r="Z28" s="274"/>
      <c r="AA28" s="271">
        <f t="shared" si="11"/>
        <v>0</v>
      </c>
      <c r="AB28" s="274">
        <v>0</v>
      </c>
      <c r="AC28" s="275">
        <f t="shared" si="12"/>
        <v>0</v>
      </c>
      <c r="AD28" s="271">
        <f t="shared" si="14"/>
        <v>0</v>
      </c>
      <c r="AE28" s="274">
        <v>0</v>
      </c>
      <c r="AF28" s="274">
        <v>0</v>
      </c>
    </row>
    <row r="29" spans="1:32" s="56" customFormat="1" ht="15.75">
      <c r="A29" s="67">
        <v>17</v>
      </c>
      <c r="B29" s="268" t="s">
        <v>369</v>
      </c>
      <c r="C29" s="152">
        <f t="shared" si="2"/>
        <v>2673</v>
      </c>
      <c r="D29" s="9">
        <v>891</v>
      </c>
      <c r="E29" s="269">
        <f t="shared" si="3"/>
        <v>891</v>
      </c>
      <c r="F29" s="9">
        <v>1782</v>
      </c>
      <c r="G29" s="152">
        <f t="shared" si="4"/>
        <v>14</v>
      </c>
      <c r="H29" s="9">
        <v>5</v>
      </c>
      <c r="I29" s="269">
        <f t="shared" si="5"/>
        <v>4.5</v>
      </c>
      <c r="J29" s="9">
        <v>9</v>
      </c>
      <c r="K29" s="270">
        <f>M29/'[2]4'!$J$31</f>
        <v>0.6666666666666666</v>
      </c>
      <c r="L29" s="9">
        <f>M29-'[2]4'!$J$31</f>
        <v>-7</v>
      </c>
      <c r="M29" s="152">
        <f t="shared" si="6"/>
        <v>14</v>
      </c>
      <c r="N29" s="9">
        <v>5</v>
      </c>
      <c r="O29" s="269">
        <f t="shared" si="7"/>
        <v>4.5</v>
      </c>
      <c r="P29" s="9">
        <v>9</v>
      </c>
      <c r="Q29" s="9">
        <f>0+9</f>
        <v>9</v>
      </c>
      <c r="R29" s="271">
        <f t="shared" si="8"/>
        <v>2</v>
      </c>
      <c r="S29" s="272">
        <f>U29/'[2]4'!$N$31</f>
        <v>0.11764705882352941</v>
      </c>
      <c r="T29" s="273">
        <f>U29-'[2]4'!$N$31</f>
        <v>-15</v>
      </c>
      <c r="U29" s="271">
        <f t="shared" si="9"/>
        <v>2</v>
      </c>
      <c r="V29" s="274">
        <v>1</v>
      </c>
      <c r="W29" s="275">
        <f t="shared" si="10"/>
        <v>0.5</v>
      </c>
      <c r="X29" s="274">
        <v>1</v>
      </c>
      <c r="Y29" s="274"/>
      <c r="Z29" s="274"/>
      <c r="AA29" s="271">
        <f t="shared" si="11"/>
        <v>0</v>
      </c>
      <c r="AB29" s="274">
        <v>0</v>
      </c>
      <c r="AC29" s="275">
        <f t="shared" si="12"/>
        <v>0</v>
      </c>
      <c r="AD29" s="271">
        <f t="shared" si="14"/>
        <v>0</v>
      </c>
      <c r="AE29" s="274">
        <v>0</v>
      </c>
      <c r="AF29" s="274">
        <v>0</v>
      </c>
    </row>
    <row r="30" spans="1:32" s="56" customFormat="1" ht="15.75">
      <c r="A30" s="67">
        <v>18</v>
      </c>
      <c r="B30" s="268" t="s">
        <v>370</v>
      </c>
      <c r="C30" s="152">
        <f t="shared" si="2"/>
        <v>3698</v>
      </c>
      <c r="D30" s="9">
        <v>1249</v>
      </c>
      <c r="E30" s="269">
        <f t="shared" si="3"/>
        <v>1224.5</v>
      </c>
      <c r="F30" s="9">
        <v>2449</v>
      </c>
      <c r="G30" s="152">
        <f t="shared" si="4"/>
        <v>12</v>
      </c>
      <c r="H30" s="9">
        <v>4</v>
      </c>
      <c r="I30" s="269">
        <f t="shared" si="5"/>
        <v>4</v>
      </c>
      <c r="J30" s="9">
        <v>8</v>
      </c>
      <c r="K30" s="270">
        <f>M30/'[2]4'!$J$32</f>
        <v>1.5</v>
      </c>
      <c r="L30" s="9">
        <f>M30-'[2]4'!$J$32</f>
        <v>1</v>
      </c>
      <c r="M30" s="152">
        <f t="shared" si="6"/>
        <v>3</v>
      </c>
      <c r="N30" s="9">
        <v>1</v>
      </c>
      <c r="O30" s="269">
        <f t="shared" si="7"/>
        <v>1</v>
      </c>
      <c r="P30" s="9">
        <v>2</v>
      </c>
      <c r="Q30" s="9">
        <f>0+2</f>
        <v>2</v>
      </c>
      <c r="R30" s="271">
        <f t="shared" si="8"/>
        <v>25</v>
      </c>
      <c r="S30" s="272">
        <f>U30/'[2]4'!$N$32</f>
        <v>0.3968253968253968</v>
      </c>
      <c r="T30" s="273">
        <f>U30-'[2]4'!$N$32</f>
        <v>-38</v>
      </c>
      <c r="U30" s="271">
        <f t="shared" si="9"/>
        <v>25</v>
      </c>
      <c r="V30" s="274">
        <v>8</v>
      </c>
      <c r="W30" s="275">
        <f t="shared" si="10"/>
        <v>8.5</v>
      </c>
      <c r="X30" s="274">
        <v>17</v>
      </c>
      <c r="Y30" s="274"/>
      <c r="Z30" s="274"/>
      <c r="AA30" s="271">
        <f t="shared" si="11"/>
        <v>0</v>
      </c>
      <c r="AB30" s="274"/>
      <c r="AC30" s="275">
        <f t="shared" si="12"/>
        <v>0</v>
      </c>
      <c r="AD30" s="271">
        <f t="shared" si="14"/>
        <v>0</v>
      </c>
      <c r="AE30" s="274"/>
      <c r="AF30" s="274"/>
    </row>
    <row r="31" spans="1:32" s="56" customFormat="1" ht="15.75">
      <c r="A31" s="67">
        <v>19</v>
      </c>
      <c r="B31" s="268" t="s">
        <v>371</v>
      </c>
      <c r="C31" s="279">
        <f t="shared" si="2"/>
        <v>11403</v>
      </c>
      <c r="D31" s="9">
        <v>3801</v>
      </c>
      <c r="E31" s="269">
        <f t="shared" si="3"/>
        <v>3801</v>
      </c>
      <c r="F31" s="9">
        <v>7602</v>
      </c>
      <c r="G31" s="152">
        <f t="shared" si="4"/>
        <v>84</v>
      </c>
      <c r="H31" s="9">
        <v>28</v>
      </c>
      <c r="I31" s="269">
        <f t="shared" si="5"/>
        <v>28</v>
      </c>
      <c r="J31" s="9">
        <v>56</v>
      </c>
      <c r="K31" s="270">
        <f>M31/'[2]4'!$J$33</f>
        <v>0.6990679094540613</v>
      </c>
      <c r="L31" s="9">
        <f>M31-'[2]4'!$J$33</f>
        <v>-226</v>
      </c>
      <c r="M31" s="152">
        <f t="shared" si="6"/>
        <v>525</v>
      </c>
      <c r="N31" s="9">
        <v>175</v>
      </c>
      <c r="O31" s="269">
        <f t="shared" si="7"/>
        <v>175</v>
      </c>
      <c r="P31" s="9">
        <v>350</v>
      </c>
      <c r="Q31" s="9">
        <f>62+288</f>
        <v>350</v>
      </c>
      <c r="R31" s="271">
        <f t="shared" si="8"/>
        <v>37</v>
      </c>
      <c r="S31" s="272">
        <f>U31/'[2]4'!$N$33</f>
        <v>0.578125</v>
      </c>
      <c r="T31" s="273">
        <f>U31-'[2]4'!$N$33</f>
        <v>-27</v>
      </c>
      <c r="U31" s="271">
        <f t="shared" si="9"/>
        <v>37</v>
      </c>
      <c r="V31" s="274">
        <v>12</v>
      </c>
      <c r="W31" s="275">
        <f t="shared" si="10"/>
        <v>12.5</v>
      </c>
      <c r="X31" s="274">
        <v>25</v>
      </c>
      <c r="Y31" s="274"/>
      <c r="Z31" s="274"/>
      <c r="AA31" s="271">
        <f t="shared" si="11"/>
        <v>0</v>
      </c>
      <c r="AB31" s="274">
        <v>0</v>
      </c>
      <c r="AC31" s="275">
        <f t="shared" si="12"/>
        <v>0</v>
      </c>
      <c r="AD31" s="271">
        <f t="shared" si="14"/>
        <v>0</v>
      </c>
      <c r="AE31" s="274">
        <v>0</v>
      </c>
      <c r="AF31" s="274">
        <v>0</v>
      </c>
    </row>
    <row r="32" spans="1:32" s="50" customFormat="1" ht="15.75">
      <c r="A32" s="67">
        <v>20</v>
      </c>
      <c r="B32" s="268" t="s">
        <v>372</v>
      </c>
      <c r="C32" s="152">
        <f t="shared" si="2"/>
        <v>7648</v>
      </c>
      <c r="D32" s="9">
        <v>2549</v>
      </c>
      <c r="E32" s="269">
        <f t="shared" si="3"/>
        <v>2549.5</v>
      </c>
      <c r="F32" s="9">
        <v>5099</v>
      </c>
      <c r="G32" s="152">
        <f t="shared" si="4"/>
        <v>13</v>
      </c>
      <c r="H32" s="9">
        <v>4</v>
      </c>
      <c r="I32" s="269">
        <f t="shared" si="5"/>
        <v>4.5</v>
      </c>
      <c r="J32" s="9">
        <v>9</v>
      </c>
      <c r="K32" s="270">
        <f>M32/'[2]4'!$J$34</f>
        <v>0.6153846153846154</v>
      </c>
      <c r="L32" s="9">
        <f>M32-'[2]4'!$J$34</f>
        <v>-110</v>
      </c>
      <c r="M32" s="152">
        <f t="shared" si="6"/>
        <v>176</v>
      </c>
      <c r="N32" s="9">
        <v>60</v>
      </c>
      <c r="O32" s="269">
        <f t="shared" si="7"/>
        <v>58</v>
      </c>
      <c r="P32" s="9">
        <v>116</v>
      </c>
      <c r="Q32" s="9">
        <f>11+105</f>
        <v>116</v>
      </c>
      <c r="R32" s="271">
        <f t="shared" si="8"/>
        <v>17</v>
      </c>
      <c r="S32" s="272">
        <f>U32/'[2]4'!$N$34</f>
        <v>0.3</v>
      </c>
      <c r="T32" s="273">
        <f>U32-'[2]4'!$N$34</f>
        <v>-35</v>
      </c>
      <c r="U32" s="271">
        <f t="shared" si="9"/>
        <v>15</v>
      </c>
      <c r="V32" s="274">
        <v>5</v>
      </c>
      <c r="W32" s="275">
        <f t="shared" si="10"/>
        <v>5</v>
      </c>
      <c r="X32" s="274">
        <v>10</v>
      </c>
      <c r="Y32" s="274"/>
      <c r="Z32" s="274"/>
      <c r="AA32" s="271">
        <f t="shared" si="11"/>
        <v>2</v>
      </c>
      <c r="AB32" s="274">
        <v>1</v>
      </c>
      <c r="AC32" s="275">
        <f t="shared" si="12"/>
        <v>0.5</v>
      </c>
      <c r="AD32" s="271">
        <f t="shared" si="14"/>
        <v>1</v>
      </c>
      <c r="AE32" s="274">
        <v>1</v>
      </c>
      <c r="AF32" s="274">
        <v>0</v>
      </c>
    </row>
    <row r="33" spans="1:32" s="56" customFormat="1" ht="15.75">
      <c r="A33" s="67">
        <v>21</v>
      </c>
      <c r="B33" s="268" t="s">
        <v>373</v>
      </c>
      <c r="C33" s="152">
        <f t="shared" si="2"/>
        <v>6587</v>
      </c>
      <c r="D33" s="9">
        <v>2196</v>
      </c>
      <c r="E33" s="269">
        <f t="shared" si="3"/>
        <v>2195.5</v>
      </c>
      <c r="F33" s="9">
        <v>4391</v>
      </c>
      <c r="G33" s="152">
        <f t="shared" si="4"/>
        <v>35</v>
      </c>
      <c r="H33" s="9">
        <v>12</v>
      </c>
      <c r="I33" s="269">
        <f t="shared" si="5"/>
        <v>11.5</v>
      </c>
      <c r="J33" s="9">
        <v>23</v>
      </c>
      <c r="K33" s="270">
        <f>M33/'[2]4'!$J$35</f>
        <v>0.6052631578947368</v>
      </c>
      <c r="L33" s="9">
        <f>M33-'[2]4'!$J$35</f>
        <v>-15</v>
      </c>
      <c r="M33" s="152">
        <f t="shared" si="6"/>
        <v>23</v>
      </c>
      <c r="N33" s="9">
        <v>9</v>
      </c>
      <c r="O33" s="269">
        <f t="shared" si="7"/>
        <v>7</v>
      </c>
      <c r="P33" s="9">
        <v>14</v>
      </c>
      <c r="Q33" s="9">
        <f>3+11</f>
        <v>14</v>
      </c>
      <c r="R33" s="271">
        <f t="shared" si="8"/>
        <v>12</v>
      </c>
      <c r="S33" s="272">
        <f>U33/'[2]4'!$N$35</f>
        <v>1</v>
      </c>
      <c r="T33" s="273">
        <f>U33-'[2]4'!$N$35</f>
        <v>0</v>
      </c>
      <c r="U33" s="271">
        <f t="shared" si="9"/>
        <v>12</v>
      </c>
      <c r="V33" s="274">
        <v>4</v>
      </c>
      <c r="W33" s="275">
        <f t="shared" si="10"/>
        <v>4</v>
      </c>
      <c r="X33" s="274">
        <v>8</v>
      </c>
      <c r="Y33" s="274"/>
      <c r="Z33" s="274"/>
      <c r="AA33" s="271">
        <f t="shared" si="11"/>
        <v>0</v>
      </c>
      <c r="AB33" s="274">
        <v>0</v>
      </c>
      <c r="AC33" s="275">
        <f t="shared" si="12"/>
        <v>0</v>
      </c>
      <c r="AD33" s="271">
        <f t="shared" si="14"/>
        <v>0</v>
      </c>
      <c r="AE33" s="274">
        <v>0</v>
      </c>
      <c r="AF33" s="274">
        <v>0</v>
      </c>
    </row>
    <row r="34" spans="1:32" s="56" customFormat="1" ht="15.75">
      <c r="A34" s="67">
        <v>22</v>
      </c>
      <c r="B34" s="268" t="s">
        <v>374</v>
      </c>
      <c r="C34" s="152">
        <f t="shared" si="2"/>
        <v>0</v>
      </c>
      <c r="D34" s="284"/>
      <c r="E34" s="284"/>
      <c r="F34" s="284"/>
      <c r="G34" s="152"/>
      <c r="H34" s="284"/>
      <c r="I34" s="284"/>
      <c r="J34" s="284"/>
      <c r="K34" s="270">
        <f>M34/'[2]4'!$J$36</f>
        <v>1</v>
      </c>
      <c r="L34" s="9">
        <f>M34-'[2]4'!$J$36</f>
        <v>0</v>
      </c>
      <c r="M34" s="152">
        <f t="shared" si="6"/>
        <v>5</v>
      </c>
      <c r="N34" s="9">
        <v>2</v>
      </c>
      <c r="O34" s="269">
        <f t="shared" si="7"/>
        <v>1.5</v>
      </c>
      <c r="P34" s="9">
        <v>3</v>
      </c>
      <c r="Q34" s="9">
        <v>3</v>
      </c>
      <c r="R34" s="271">
        <f t="shared" si="8"/>
        <v>50</v>
      </c>
      <c r="S34" s="272">
        <f>U34/'[2]4'!$N$36</f>
        <v>0.10121457489878542</v>
      </c>
      <c r="T34" s="273">
        <f>U34-'[2]4'!$N$36</f>
        <v>-444</v>
      </c>
      <c r="U34" s="271">
        <f t="shared" si="9"/>
        <v>50</v>
      </c>
      <c r="V34" s="274">
        <v>17</v>
      </c>
      <c r="W34" s="275">
        <f t="shared" si="10"/>
        <v>16.5</v>
      </c>
      <c r="X34" s="274">
        <v>33</v>
      </c>
      <c r="Y34" s="274"/>
      <c r="Z34" s="274"/>
      <c r="AA34" s="271">
        <f t="shared" si="11"/>
        <v>0</v>
      </c>
      <c r="AB34" s="274">
        <v>0</v>
      </c>
      <c r="AC34" s="275">
        <f t="shared" si="12"/>
        <v>0</v>
      </c>
      <c r="AD34" s="271">
        <f t="shared" si="14"/>
        <v>0</v>
      </c>
      <c r="AE34" s="274">
        <v>0</v>
      </c>
      <c r="AF34" s="274">
        <v>0</v>
      </c>
    </row>
    <row r="35" spans="1:32" s="56" customFormat="1" ht="15.75">
      <c r="A35" s="67">
        <v>23</v>
      </c>
      <c r="B35" s="268" t="s">
        <v>375</v>
      </c>
      <c r="C35" s="152">
        <f t="shared" si="2"/>
        <v>5832</v>
      </c>
      <c r="D35" s="9">
        <v>1944</v>
      </c>
      <c r="E35" s="269">
        <f aca="true" t="shared" si="15" ref="E35:E75">(F35/4)*2</f>
        <v>1944</v>
      </c>
      <c r="F35" s="9">
        <v>3888</v>
      </c>
      <c r="G35" s="152">
        <f aca="true" t="shared" si="16" ref="G35:G75">H35+J35</f>
        <v>31</v>
      </c>
      <c r="H35" s="9">
        <v>10</v>
      </c>
      <c r="I35" s="269">
        <f aca="true" t="shared" si="17" ref="I35:I75">(J35/4)*2</f>
        <v>10.5</v>
      </c>
      <c r="J35" s="9">
        <v>21</v>
      </c>
      <c r="K35" s="270">
        <f>M35/'[2]4'!$J$37</f>
        <v>0.5</v>
      </c>
      <c r="L35" s="9">
        <f>M35-'[2]4'!$J$37</f>
        <v>-16</v>
      </c>
      <c r="M35" s="152">
        <f t="shared" si="6"/>
        <v>16</v>
      </c>
      <c r="N35" s="9">
        <v>5</v>
      </c>
      <c r="O35" s="269">
        <f t="shared" si="7"/>
        <v>5.5</v>
      </c>
      <c r="P35" s="9">
        <v>11</v>
      </c>
      <c r="Q35" s="9">
        <v>11</v>
      </c>
      <c r="R35" s="271">
        <f t="shared" si="8"/>
        <v>3</v>
      </c>
      <c r="S35" s="272">
        <f>U35/'[2]4'!$N$37</f>
        <v>0.375</v>
      </c>
      <c r="T35" s="273">
        <f>U35-'[2]4'!$N$37</f>
        <v>-5</v>
      </c>
      <c r="U35" s="271">
        <f t="shared" si="9"/>
        <v>3</v>
      </c>
      <c r="V35" s="274">
        <v>1</v>
      </c>
      <c r="W35" s="275">
        <f t="shared" si="10"/>
        <v>1</v>
      </c>
      <c r="X35" s="274">
        <v>2</v>
      </c>
      <c r="Y35" s="274"/>
      <c r="Z35" s="274"/>
      <c r="AA35" s="271">
        <f t="shared" si="11"/>
        <v>0</v>
      </c>
      <c r="AB35" s="274">
        <v>0</v>
      </c>
      <c r="AC35" s="275">
        <f t="shared" si="12"/>
        <v>0</v>
      </c>
      <c r="AD35" s="271">
        <f t="shared" si="14"/>
        <v>0</v>
      </c>
      <c r="AE35" s="274">
        <v>0</v>
      </c>
      <c r="AF35" s="274">
        <v>0</v>
      </c>
    </row>
    <row r="36" spans="1:32" s="56" customFormat="1" ht="15.75">
      <c r="A36" s="67">
        <v>24</v>
      </c>
      <c r="B36" s="268" t="s">
        <v>376</v>
      </c>
      <c r="C36" s="279">
        <f t="shared" si="2"/>
        <v>33987</v>
      </c>
      <c r="D36" s="285">
        <v>11329</v>
      </c>
      <c r="E36" s="286">
        <f t="shared" si="15"/>
        <v>11329</v>
      </c>
      <c r="F36" s="285">
        <v>22658</v>
      </c>
      <c r="G36" s="152">
        <f t="shared" si="16"/>
        <v>817.5</v>
      </c>
      <c r="H36" s="9">
        <v>272.5</v>
      </c>
      <c r="I36" s="269">
        <f t="shared" si="17"/>
        <v>272.5</v>
      </c>
      <c r="J36" s="9">
        <v>545</v>
      </c>
      <c r="K36" s="270">
        <f>M36/'[2]4'!$J$38</f>
        <v>0</v>
      </c>
      <c r="L36" s="9">
        <f>M36-'[2]4'!$J$38</f>
        <v>-514</v>
      </c>
      <c r="M36" s="152">
        <f t="shared" si="6"/>
        <v>0</v>
      </c>
      <c r="N36" s="284"/>
      <c r="O36" s="269">
        <f t="shared" si="7"/>
        <v>0</v>
      </c>
      <c r="P36" s="284"/>
      <c r="Q36" s="284"/>
      <c r="R36" s="271">
        <f t="shared" si="8"/>
        <v>99</v>
      </c>
      <c r="S36" s="272">
        <f>U36/'[2]4'!$N$38</f>
        <v>1.1194029850746268</v>
      </c>
      <c r="T36" s="273">
        <f>U36-'[2]4'!$N$38</f>
        <v>8</v>
      </c>
      <c r="U36" s="271">
        <f t="shared" si="9"/>
        <v>75</v>
      </c>
      <c r="V36" s="274">
        <v>25</v>
      </c>
      <c r="W36" s="275">
        <f t="shared" si="10"/>
        <v>25</v>
      </c>
      <c r="X36" s="274">
        <v>50</v>
      </c>
      <c r="Y36" s="274"/>
      <c r="Z36" s="274"/>
      <c r="AA36" s="271">
        <f t="shared" si="11"/>
        <v>24</v>
      </c>
      <c r="AB36" s="274">
        <v>8</v>
      </c>
      <c r="AC36" s="275">
        <f t="shared" si="12"/>
        <v>8</v>
      </c>
      <c r="AD36" s="271">
        <f t="shared" si="14"/>
        <v>16</v>
      </c>
      <c r="AE36" s="274">
        <v>9</v>
      </c>
      <c r="AF36" s="274">
        <v>7</v>
      </c>
    </row>
    <row r="37" spans="1:32" s="56" customFormat="1" ht="15.75">
      <c r="A37" s="67">
        <v>25</v>
      </c>
      <c r="B37" s="268" t="s">
        <v>377</v>
      </c>
      <c r="C37" s="152">
        <f t="shared" si="2"/>
        <v>8862</v>
      </c>
      <c r="D37" s="9">
        <v>2954</v>
      </c>
      <c r="E37" s="269">
        <f t="shared" si="15"/>
        <v>2954</v>
      </c>
      <c r="F37" s="9">
        <v>5908</v>
      </c>
      <c r="G37" s="152">
        <f t="shared" si="16"/>
        <v>74</v>
      </c>
      <c r="H37" s="9">
        <v>25</v>
      </c>
      <c r="I37" s="269">
        <f t="shared" si="17"/>
        <v>24.5</v>
      </c>
      <c r="J37" s="9">
        <v>49</v>
      </c>
      <c r="K37" s="270">
        <f>M37/'[2]4'!$J$39</f>
        <v>0.46153846153846156</v>
      </c>
      <c r="L37" s="9">
        <f>M37-'[2]4'!$J$39</f>
        <v>-28</v>
      </c>
      <c r="M37" s="152">
        <f t="shared" si="6"/>
        <v>24</v>
      </c>
      <c r="N37" s="9">
        <v>8</v>
      </c>
      <c r="O37" s="269">
        <f t="shared" si="7"/>
        <v>8</v>
      </c>
      <c r="P37" s="9">
        <v>16</v>
      </c>
      <c r="Q37" s="9">
        <v>16</v>
      </c>
      <c r="R37" s="271">
        <f t="shared" si="8"/>
        <v>19</v>
      </c>
      <c r="S37" s="272">
        <f>U37/'[2]4'!$N$39</f>
        <v>0.40425531914893614</v>
      </c>
      <c r="T37" s="273">
        <f>U37-'[2]4'!$N$39</f>
        <v>-28</v>
      </c>
      <c r="U37" s="271">
        <f t="shared" si="9"/>
        <v>19</v>
      </c>
      <c r="V37" s="274">
        <v>6</v>
      </c>
      <c r="W37" s="275">
        <f t="shared" si="10"/>
        <v>6.5</v>
      </c>
      <c r="X37" s="274">
        <v>13</v>
      </c>
      <c r="Y37" s="274"/>
      <c r="Z37" s="274"/>
      <c r="AA37" s="271">
        <f t="shared" si="11"/>
        <v>0</v>
      </c>
      <c r="AB37" s="274">
        <v>0</v>
      </c>
      <c r="AC37" s="275">
        <f t="shared" si="12"/>
        <v>0</v>
      </c>
      <c r="AD37" s="271">
        <f t="shared" si="14"/>
        <v>0</v>
      </c>
      <c r="AE37" s="274">
        <v>0</v>
      </c>
      <c r="AF37" s="274"/>
    </row>
    <row r="38" spans="1:33" s="56" customFormat="1" ht="15.75">
      <c r="A38" s="67">
        <v>26</v>
      </c>
      <c r="B38" s="268" t="s">
        <v>378</v>
      </c>
      <c r="C38" s="152">
        <f t="shared" si="2"/>
        <v>7064</v>
      </c>
      <c r="D38" s="9"/>
      <c r="E38" s="269">
        <f t="shared" si="15"/>
        <v>3532</v>
      </c>
      <c r="F38" s="9">
        <v>7064</v>
      </c>
      <c r="G38" s="152">
        <f t="shared" si="16"/>
        <v>149</v>
      </c>
      <c r="H38" s="9"/>
      <c r="I38" s="269">
        <f t="shared" si="17"/>
        <v>74.5</v>
      </c>
      <c r="J38" s="9">
        <v>149</v>
      </c>
      <c r="K38" s="270">
        <f>M38/'[2]4'!$J$40</f>
        <v>0.5139664804469274</v>
      </c>
      <c r="L38" s="9">
        <f>M38-'[2]4'!$J$40</f>
        <v>-87</v>
      </c>
      <c r="M38" s="152">
        <f t="shared" si="6"/>
        <v>92</v>
      </c>
      <c r="N38" s="280">
        <v>31</v>
      </c>
      <c r="O38" s="269">
        <f t="shared" si="7"/>
        <v>30.5</v>
      </c>
      <c r="P38" s="9">
        <v>61</v>
      </c>
      <c r="Q38" s="9">
        <f>12+43</f>
        <v>55</v>
      </c>
      <c r="R38" s="271">
        <f t="shared" si="8"/>
        <v>40</v>
      </c>
      <c r="S38" s="272">
        <f>U38/'[2]4'!$N$40</f>
        <v>1</v>
      </c>
      <c r="T38" s="273">
        <f>U38-'[2]4'!$N$40</f>
        <v>0</v>
      </c>
      <c r="U38" s="271">
        <f t="shared" si="9"/>
        <v>32</v>
      </c>
      <c r="V38" s="281">
        <v>11</v>
      </c>
      <c r="W38" s="275">
        <f t="shared" si="10"/>
        <v>10.5</v>
      </c>
      <c r="X38" s="274">
        <v>21</v>
      </c>
      <c r="Y38" s="274"/>
      <c r="Z38" s="274"/>
      <c r="AA38" s="271">
        <f t="shared" si="11"/>
        <v>8</v>
      </c>
      <c r="AB38" s="281">
        <v>3</v>
      </c>
      <c r="AC38" s="275">
        <f t="shared" si="12"/>
        <v>2.5</v>
      </c>
      <c r="AD38" s="271">
        <f t="shared" si="14"/>
        <v>5</v>
      </c>
      <c r="AE38" s="274">
        <v>5</v>
      </c>
      <c r="AF38" s="274">
        <v>0</v>
      </c>
      <c r="AG38" s="56" t="s">
        <v>602</v>
      </c>
    </row>
    <row r="39" spans="1:33" s="56" customFormat="1" ht="15.75">
      <c r="A39" s="67">
        <v>27</v>
      </c>
      <c r="B39" s="268" t="s">
        <v>379</v>
      </c>
      <c r="C39" s="279">
        <f t="shared" si="2"/>
        <v>19641</v>
      </c>
      <c r="D39" s="285">
        <v>13214</v>
      </c>
      <c r="E39" s="269">
        <f t="shared" si="15"/>
        <v>3213.5</v>
      </c>
      <c r="F39" s="9">
        <v>6427</v>
      </c>
      <c r="G39" s="152">
        <f t="shared" si="16"/>
        <v>107</v>
      </c>
      <c r="H39" s="9">
        <v>36</v>
      </c>
      <c r="I39" s="269">
        <f t="shared" si="17"/>
        <v>35.5</v>
      </c>
      <c r="J39" s="9">
        <v>71</v>
      </c>
      <c r="K39" s="270">
        <f>M39/'[2]4'!$J$41</f>
        <v>0.5778210116731517</v>
      </c>
      <c r="L39" s="9">
        <f>M39-'[2]4'!$J$41</f>
        <v>-217</v>
      </c>
      <c r="M39" s="152">
        <f t="shared" si="6"/>
        <v>297</v>
      </c>
      <c r="N39" s="9">
        <v>99</v>
      </c>
      <c r="O39" s="269">
        <f t="shared" si="7"/>
        <v>99</v>
      </c>
      <c r="P39" s="9">
        <v>198</v>
      </c>
      <c r="Q39" s="9">
        <f>36+260</f>
        <v>296</v>
      </c>
      <c r="R39" s="271">
        <f t="shared" si="8"/>
        <v>39</v>
      </c>
      <c r="S39" s="272">
        <f>U39/'[2]4'!$N$41</f>
        <v>0.46153846153846156</v>
      </c>
      <c r="T39" s="273">
        <f>U39-'[2]4'!$N$41</f>
        <v>-42</v>
      </c>
      <c r="U39" s="271">
        <f t="shared" si="9"/>
        <v>36</v>
      </c>
      <c r="V39" s="274">
        <v>12</v>
      </c>
      <c r="W39" s="275">
        <f t="shared" si="10"/>
        <v>12</v>
      </c>
      <c r="X39" s="274">
        <v>24</v>
      </c>
      <c r="Y39" s="274"/>
      <c r="Z39" s="274"/>
      <c r="AA39" s="271">
        <f t="shared" si="11"/>
        <v>3</v>
      </c>
      <c r="AB39" s="274">
        <v>1</v>
      </c>
      <c r="AC39" s="275">
        <f t="shared" si="12"/>
        <v>1</v>
      </c>
      <c r="AD39" s="271">
        <f t="shared" si="14"/>
        <v>2</v>
      </c>
      <c r="AE39" s="274">
        <v>2</v>
      </c>
      <c r="AF39" s="274">
        <v>0</v>
      </c>
      <c r="AG39" s="56" t="s">
        <v>603</v>
      </c>
    </row>
    <row r="40" spans="1:32" s="50" customFormat="1" ht="15.75">
      <c r="A40" s="67">
        <v>28</v>
      </c>
      <c r="B40" s="268" t="s">
        <v>380</v>
      </c>
      <c r="C40" s="152">
        <f t="shared" si="2"/>
        <v>4301</v>
      </c>
      <c r="D40" s="9">
        <v>1434</v>
      </c>
      <c r="E40" s="269">
        <f t="shared" si="15"/>
        <v>1433.5</v>
      </c>
      <c r="F40" s="9">
        <v>2867</v>
      </c>
      <c r="G40" s="152">
        <f t="shared" si="16"/>
        <v>15</v>
      </c>
      <c r="H40" s="9">
        <v>5</v>
      </c>
      <c r="I40" s="269">
        <f t="shared" si="17"/>
        <v>5</v>
      </c>
      <c r="J40" s="9">
        <v>10</v>
      </c>
      <c r="K40" s="270">
        <f>M40/'[2]4'!$J$42</f>
        <v>0.6111111111111112</v>
      </c>
      <c r="L40" s="9">
        <f>M40-'[2]4'!$J$42</f>
        <v>-105</v>
      </c>
      <c r="M40" s="152">
        <f t="shared" si="6"/>
        <v>165</v>
      </c>
      <c r="N40" s="9">
        <v>55</v>
      </c>
      <c r="O40" s="269">
        <f t="shared" si="7"/>
        <v>55</v>
      </c>
      <c r="P40" s="9">
        <v>110</v>
      </c>
      <c r="Q40" s="9">
        <f>3+107</f>
        <v>110</v>
      </c>
      <c r="R40" s="271">
        <f t="shared" si="8"/>
        <v>6</v>
      </c>
      <c r="S40" s="272">
        <f>U40/'[2]4'!$N$42</f>
        <v>0.3</v>
      </c>
      <c r="T40" s="273">
        <f>U40-'[2]4'!$N$42</f>
        <v>-14</v>
      </c>
      <c r="U40" s="271">
        <f t="shared" si="9"/>
        <v>6</v>
      </c>
      <c r="V40" s="274">
        <v>2</v>
      </c>
      <c r="W40" s="275">
        <f t="shared" si="10"/>
        <v>2</v>
      </c>
      <c r="X40" s="274">
        <v>4</v>
      </c>
      <c r="Y40" s="274"/>
      <c r="Z40" s="274"/>
      <c r="AA40" s="271">
        <f t="shared" si="11"/>
        <v>0</v>
      </c>
      <c r="AB40" s="274">
        <v>0</v>
      </c>
      <c r="AC40" s="275">
        <f t="shared" si="12"/>
        <v>0</v>
      </c>
      <c r="AD40" s="271">
        <f t="shared" si="14"/>
        <v>0</v>
      </c>
      <c r="AE40" s="274">
        <v>0</v>
      </c>
      <c r="AF40" s="274">
        <v>0</v>
      </c>
    </row>
    <row r="41" spans="1:32" s="56" customFormat="1" ht="15.75">
      <c r="A41" s="67">
        <v>29</v>
      </c>
      <c r="B41" s="268" t="s">
        <v>541</v>
      </c>
      <c r="C41" s="152">
        <f t="shared" si="2"/>
        <v>3875</v>
      </c>
      <c r="D41" s="9">
        <v>1292</v>
      </c>
      <c r="E41" s="269">
        <f t="shared" si="15"/>
        <v>1291.5</v>
      </c>
      <c r="F41" s="9">
        <v>2583</v>
      </c>
      <c r="G41" s="152">
        <f t="shared" si="16"/>
        <v>6</v>
      </c>
      <c r="H41" s="9">
        <v>2</v>
      </c>
      <c r="I41" s="269">
        <f t="shared" si="17"/>
        <v>2</v>
      </c>
      <c r="J41" s="9">
        <v>4</v>
      </c>
      <c r="K41" s="270">
        <f>M41/'[2]4'!$J$43</f>
        <v>0.75</v>
      </c>
      <c r="L41" s="9">
        <f>M41-'[2]4'!$J$43</f>
        <v>-2</v>
      </c>
      <c r="M41" s="152">
        <f t="shared" si="6"/>
        <v>6</v>
      </c>
      <c r="N41" s="9">
        <v>2</v>
      </c>
      <c r="O41" s="269">
        <f t="shared" si="7"/>
        <v>2</v>
      </c>
      <c r="P41" s="9">
        <v>4</v>
      </c>
      <c r="Q41" s="9">
        <f>1+3</f>
        <v>4</v>
      </c>
      <c r="R41" s="271">
        <f t="shared" si="8"/>
        <v>9</v>
      </c>
      <c r="S41" s="272">
        <f>U41/'[2]4'!$N$43</f>
        <v>0.375</v>
      </c>
      <c r="T41" s="273">
        <f>U41-'[2]4'!$N$43</f>
        <v>-15</v>
      </c>
      <c r="U41" s="271">
        <f t="shared" si="9"/>
        <v>9</v>
      </c>
      <c r="V41" s="274">
        <v>1</v>
      </c>
      <c r="W41" s="275">
        <f t="shared" si="10"/>
        <v>4</v>
      </c>
      <c r="X41" s="274">
        <v>8</v>
      </c>
      <c r="Y41" s="274"/>
      <c r="Z41" s="274"/>
      <c r="AA41" s="271">
        <f t="shared" si="11"/>
        <v>0</v>
      </c>
      <c r="AB41" s="274">
        <v>0</v>
      </c>
      <c r="AC41" s="275">
        <f t="shared" si="12"/>
        <v>0</v>
      </c>
      <c r="AD41" s="271">
        <f t="shared" si="14"/>
        <v>0</v>
      </c>
      <c r="AE41" s="274">
        <v>0</v>
      </c>
      <c r="AF41" s="274">
        <v>0</v>
      </c>
    </row>
    <row r="42" spans="1:32" s="56" customFormat="1" ht="15.75">
      <c r="A42" s="67">
        <v>30</v>
      </c>
      <c r="B42" s="268" t="s">
        <v>382</v>
      </c>
      <c r="C42" s="152">
        <f t="shared" si="2"/>
        <v>6976</v>
      </c>
      <c r="D42" s="9">
        <v>2325</v>
      </c>
      <c r="E42" s="269">
        <f t="shared" si="15"/>
        <v>2325.5</v>
      </c>
      <c r="F42" s="9">
        <v>4651</v>
      </c>
      <c r="G42" s="152">
        <f t="shared" si="16"/>
        <v>89</v>
      </c>
      <c r="H42" s="9">
        <v>30</v>
      </c>
      <c r="I42" s="269">
        <f t="shared" si="17"/>
        <v>29.5</v>
      </c>
      <c r="J42" s="9">
        <v>59</v>
      </c>
      <c r="K42" s="270">
        <f>M42/'[2]4'!$J$44</f>
        <v>0.3877551020408163</v>
      </c>
      <c r="L42" s="9">
        <f>M42-'[2]4'!$J$44</f>
        <v>-30</v>
      </c>
      <c r="M42" s="152">
        <f t="shared" si="6"/>
        <v>19</v>
      </c>
      <c r="N42" s="9">
        <v>7</v>
      </c>
      <c r="O42" s="269">
        <f t="shared" si="7"/>
        <v>6</v>
      </c>
      <c r="P42" s="9">
        <v>12</v>
      </c>
      <c r="Q42" s="9">
        <v>12</v>
      </c>
      <c r="R42" s="271">
        <f t="shared" si="8"/>
        <v>26</v>
      </c>
      <c r="S42" s="272">
        <f>U42/'[2]4'!$N$44</f>
        <v>0.8846153846153846</v>
      </c>
      <c r="T42" s="273">
        <f>U42-'[2]4'!$N$44</f>
        <v>-3</v>
      </c>
      <c r="U42" s="271">
        <f t="shared" si="9"/>
        <v>23</v>
      </c>
      <c r="V42" s="274">
        <v>8</v>
      </c>
      <c r="W42" s="275">
        <f t="shared" si="10"/>
        <v>7.5</v>
      </c>
      <c r="X42" s="274">
        <v>15</v>
      </c>
      <c r="Y42" s="274"/>
      <c r="Z42" s="274"/>
      <c r="AA42" s="271">
        <f t="shared" si="11"/>
        <v>3</v>
      </c>
      <c r="AB42" s="274">
        <v>1</v>
      </c>
      <c r="AC42" s="275">
        <f t="shared" si="12"/>
        <v>1</v>
      </c>
      <c r="AD42" s="271">
        <f t="shared" si="14"/>
        <v>2</v>
      </c>
      <c r="AE42" s="274">
        <v>2</v>
      </c>
      <c r="AF42" s="274">
        <v>0</v>
      </c>
    </row>
    <row r="43" spans="1:33" s="56" customFormat="1" ht="15.75">
      <c r="A43" s="67">
        <v>31</v>
      </c>
      <c r="B43" s="268" t="s">
        <v>542</v>
      </c>
      <c r="C43" s="152">
        <f t="shared" si="2"/>
        <v>5172</v>
      </c>
      <c r="D43" s="9">
        <v>1753</v>
      </c>
      <c r="E43" s="269">
        <f t="shared" si="15"/>
        <v>1709.5</v>
      </c>
      <c r="F43" s="9">
        <v>3419</v>
      </c>
      <c r="G43" s="152">
        <f t="shared" si="16"/>
        <v>32</v>
      </c>
      <c r="H43" s="9">
        <v>11</v>
      </c>
      <c r="I43" s="269">
        <f t="shared" si="17"/>
        <v>10.5</v>
      </c>
      <c r="J43" s="9">
        <v>21</v>
      </c>
      <c r="K43" s="270">
        <f>M43/'[2]4'!$J$45</f>
        <v>0.6124031007751938</v>
      </c>
      <c r="L43" s="9">
        <f>M43-'[2]4'!$J$45</f>
        <v>-150</v>
      </c>
      <c r="M43" s="152">
        <f t="shared" si="6"/>
        <v>237</v>
      </c>
      <c r="N43" s="9">
        <v>79</v>
      </c>
      <c r="O43" s="269">
        <f t="shared" si="7"/>
        <v>79</v>
      </c>
      <c r="P43" s="9">
        <v>158</v>
      </c>
      <c r="Q43" s="9">
        <f>21+137</f>
        <v>158</v>
      </c>
      <c r="R43" s="271">
        <f t="shared" si="8"/>
        <v>23</v>
      </c>
      <c r="S43" s="272">
        <f>U43/'[2]4'!$N$45</f>
        <v>0.6764705882352942</v>
      </c>
      <c r="T43" s="273">
        <f>U43-'[2]4'!$N$45</f>
        <v>-11</v>
      </c>
      <c r="U43" s="271">
        <f t="shared" si="9"/>
        <v>23</v>
      </c>
      <c r="V43" s="281">
        <v>8</v>
      </c>
      <c r="W43" s="275">
        <f t="shared" si="10"/>
        <v>7.5</v>
      </c>
      <c r="X43" s="274">
        <v>15</v>
      </c>
      <c r="Y43" s="274"/>
      <c r="Z43" s="274"/>
      <c r="AA43" s="271">
        <f t="shared" si="11"/>
        <v>0</v>
      </c>
      <c r="AB43" s="274">
        <v>0</v>
      </c>
      <c r="AC43" s="275">
        <f t="shared" si="12"/>
        <v>0</v>
      </c>
      <c r="AD43" s="271">
        <f t="shared" si="14"/>
        <v>0</v>
      </c>
      <c r="AE43" s="274">
        <v>0</v>
      </c>
      <c r="AF43" s="274">
        <v>0</v>
      </c>
      <c r="AG43" s="56" t="s">
        <v>604</v>
      </c>
    </row>
    <row r="44" spans="1:32" s="56" customFormat="1" ht="15.75">
      <c r="A44" s="67">
        <v>32</v>
      </c>
      <c r="B44" s="268" t="s">
        <v>384</v>
      </c>
      <c r="C44" s="152">
        <f t="shared" si="2"/>
        <v>8774</v>
      </c>
      <c r="D44" s="9">
        <v>2925</v>
      </c>
      <c r="E44" s="269">
        <f t="shared" si="15"/>
        <v>2924.5</v>
      </c>
      <c r="F44" s="9">
        <v>5849</v>
      </c>
      <c r="G44" s="152">
        <f t="shared" si="16"/>
        <v>81</v>
      </c>
      <c r="H44" s="9">
        <v>27</v>
      </c>
      <c r="I44" s="269">
        <f t="shared" si="17"/>
        <v>27</v>
      </c>
      <c r="J44" s="9">
        <v>54</v>
      </c>
      <c r="K44" s="270">
        <f>M44/'[2]4'!$J$46</f>
        <v>0.6351791530944625</v>
      </c>
      <c r="L44" s="9">
        <f>M44-'[2]4'!$J$46</f>
        <v>-112</v>
      </c>
      <c r="M44" s="152">
        <f t="shared" si="6"/>
        <v>195</v>
      </c>
      <c r="N44" s="9">
        <v>65</v>
      </c>
      <c r="O44" s="269">
        <f t="shared" si="7"/>
        <v>65</v>
      </c>
      <c r="P44" s="9">
        <v>130</v>
      </c>
      <c r="Q44" s="9">
        <f>13+117</f>
        <v>130</v>
      </c>
      <c r="R44" s="271">
        <f t="shared" si="8"/>
        <v>27.5</v>
      </c>
      <c r="S44" s="272">
        <f>U44/'[2]4'!$N$46</f>
        <v>0.6046511627906976</v>
      </c>
      <c r="T44" s="273">
        <f>U44-'[2]4'!$N$46</f>
        <v>-17</v>
      </c>
      <c r="U44" s="271">
        <f t="shared" si="9"/>
        <v>26</v>
      </c>
      <c r="V44" s="274">
        <v>9</v>
      </c>
      <c r="W44" s="275">
        <f t="shared" si="10"/>
        <v>8.5</v>
      </c>
      <c r="X44" s="274">
        <v>17</v>
      </c>
      <c r="Y44" s="274"/>
      <c r="Z44" s="274"/>
      <c r="AA44" s="271">
        <f t="shared" si="11"/>
        <v>1.5</v>
      </c>
      <c r="AB44" s="274">
        <v>0.5</v>
      </c>
      <c r="AC44" s="275">
        <f t="shared" si="12"/>
        <v>0.5</v>
      </c>
      <c r="AD44" s="271">
        <f t="shared" si="14"/>
        <v>1</v>
      </c>
      <c r="AE44" s="274">
        <v>0</v>
      </c>
      <c r="AF44" s="274">
        <v>1</v>
      </c>
    </row>
    <row r="45" spans="1:32" s="56" customFormat="1" ht="15.75">
      <c r="A45" s="67">
        <v>33</v>
      </c>
      <c r="B45" s="268" t="s">
        <v>385</v>
      </c>
      <c r="C45" s="152">
        <f aca="true" t="shared" si="18" ref="C45:C75">D45+F45</f>
        <v>2564</v>
      </c>
      <c r="D45" s="9">
        <v>855</v>
      </c>
      <c r="E45" s="269">
        <f t="shared" si="15"/>
        <v>854.5</v>
      </c>
      <c r="F45" s="9">
        <v>1709</v>
      </c>
      <c r="G45" s="152">
        <f t="shared" si="16"/>
        <v>3</v>
      </c>
      <c r="H45" s="9">
        <v>1</v>
      </c>
      <c r="I45" s="269">
        <f t="shared" si="17"/>
        <v>1</v>
      </c>
      <c r="J45" s="9">
        <v>2</v>
      </c>
      <c r="K45" s="270">
        <f>M45/'[2]4'!$J$47</f>
        <v>0.9230769230769231</v>
      </c>
      <c r="L45" s="9">
        <f>M45-'[2]4'!$J$47</f>
        <v>-1</v>
      </c>
      <c r="M45" s="152">
        <f t="shared" si="6"/>
        <v>12</v>
      </c>
      <c r="N45" s="9">
        <v>4</v>
      </c>
      <c r="O45" s="269">
        <f aca="true" t="shared" si="19" ref="O45:O75">(P45/4)*2</f>
        <v>4</v>
      </c>
      <c r="P45" s="9">
        <v>8</v>
      </c>
      <c r="Q45" s="9">
        <f>2+6</f>
        <v>8</v>
      </c>
      <c r="R45" s="271">
        <f aca="true" t="shared" si="20" ref="R45:R75">U45+AA45</f>
        <v>0</v>
      </c>
      <c r="S45" s="272">
        <f>U45/'[2]4'!$N$47</f>
        <v>0</v>
      </c>
      <c r="T45" s="273">
        <f>U45-'[2]4'!$N$47</f>
        <v>-12</v>
      </c>
      <c r="U45" s="271">
        <f aca="true" t="shared" si="21" ref="U45:U75">V45+X45</f>
        <v>0</v>
      </c>
      <c r="V45" s="274"/>
      <c r="W45" s="275">
        <f aca="true" t="shared" si="22" ref="W45:W75">(X45/4)*2</f>
        <v>0</v>
      </c>
      <c r="X45" s="274">
        <v>0</v>
      </c>
      <c r="Y45" s="274"/>
      <c r="Z45" s="274"/>
      <c r="AA45" s="271">
        <f aca="true" t="shared" si="23" ref="AA45:AA75">AB45+AD45</f>
        <v>0</v>
      </c>
      <c r="AB45" s="274">
        <v>0</v>
      </c>
      <c r="AC45" s="275">
        <f aca="true" t="shared" si="24" ref="AC45:AC75">(AD45/4)*2</f>
        <v>0</v>
      </c>
      <c r="AD45" s="271">
        <f t="shared" si="14"/>
        <v>0</v>
      </c>
      <c r="AE45" s="274">
        <v>0</v>
      </c>
      <c r="AF45" s="274">
        <v>0</v>
      </c>
    </row>
    <row r="46" spans="1:32" s="56" customFormat="1" ht="15.75">
      <c r="A46" s="67">
        <v>34</v>
      </c>
      <c r="B46" s="268" t="s">
        <v>386</v>
      </c>
      <c r="C46" s="152">
        <f t="shared" si="18"/>
        <v>1992</v>
      </c>
      <c r="D46" s="9">
        <v>664</v>
      </c>
      <c r="E46" s="269">
        <f t="shared" si="15"/>
        <v>664</v>
      </c>
      <c r="F46" s="9">
        <v>1328</v>
      </c>
      <c r="G46" s="152">
        <f t="shared" si="16"/>
        <v>0</v>
      </c>
      <c r="H46" s="9"/>
      <c r="I46" s="269">
        <f t="shared" si="17"/>
        <v>0</v>
      </c>
      <c r="J46" s="9"/>
      <c r="K46" s="270">
        <f>M46/'[2]4'!$J$48</f>
        <v>0</v>
      </c>
      <c r="L46" s="9">
        <f>M46-'[2]4'!$J$48</f>
        <v>-3</v>
      </c>
      <c r="M46" s="152">
        <f t="shared" si="6"/>
        <v>0</v>
      </c>
      <c r="N46" s="284"/>
      <c r="O46" s="269">
        <f t="shared" si="19"/>
        <v>0</v>
      </c>
      <c r="P46" s="284"/>
      <c r="Q46" s="284"/>
      <c r="R46" s="271">
        <f t="shared" si="20"/>
        <v>0</v>
      </c>
      <c r="S46" s="272">
        <f>U46/'[2]4'!$N$48</f>
        <v>0</v>
      </c>
      <c r="T46" s="273">
        <f>U46-'[2]4'!$N$48</f>
        <v>-44</v>
      </c>
      <c r="U46" s="271">
        <f t="shared" si="21"/>
        <v>0</v>
      </c>
      <c r="V46" s="283"/>
      <c r="W46" s="275">
        <f t="shared" si="22"/>
        <v>0</v>
      </c>
      <c r="X46" s="283"/>
      <c r="Y46" s="283"/>
      <c r="Z46" s="283"/>
      <c r="AA46" s="271">
        <f t="shared" si="23"/>
        <v>0</v>
      </c>
      <c r="AB46" s="283"/>
      <c r="AC46" s="275">
        <f t="shared" si="24"/>
        <v>0</v>
      </c>
      <c r="AD46" s="271">
        <f t="shared" si="14"/>
        <v>0</v>
      </c>
      <c r="AE46" s="283"/>
      <c r="AF46" s="283"/>
    </row>
    <row r="47" spans="1:32" s="56" customFormat="1" ht="15.75">
      <c r="A47" s="67">
        <v>35</v>
      </c>
      <c r="B47" s="268" t="s">
        <v>387</v>
      </c>
      <c r="C47" s="152">
        <f t="shared" si="18"/>
        <v>7074</v>
      </c>
      <c r="D47" s="9">
        <v>2358</v>
      </c>
      <c r="E47" s="269">
        <f t="shared" si="15"/>
        <v>2358</v>
      </c>
      <c r="F47" s="9">
        <v>4716</v>
      </c>
      <c r="G47" s="152">
        <f t="shared" si="16"/>
        <v>116</v>
      </c>
      <c r="H47" s="9">
        <v>39</v>
      </c>
      <c r="I47" s="269">
        <f t="shared" si="17"/>
        <v>38.5</v>
      </c>
      <c r="J47" s="9">
        <v>77</v>
      </c>
      <c r="K47" s="270">
        <f>M47/'[2]4'!$J$49</f>
        <v>0.5660377358490566</v>
      </c>
      <c r="L47" s="9">
        <f>M47-'[2]4'!$J$49</f>
        <v>-69</v>
      </c>
      <c r="M47" s="152">
        <f t="shared" si="6"/>
        <v>90</v>
      </c>
      <c r="N47" s="9">
        <v>30</v>
      </c>
      <c r="O47" s="269">
        <f t="shared" si="19"/>
        <v>30</v>
      </c>
      <c r="P47" s="9">
        <v>60</v>
      </c>
      <c r="Q47" s="9">
        <f>10+50</f>
        <v>60</v>
      </c>
      <c r="R47" s="271">
        <f t="shared" si="20"/>
        <v>24</v>
      </c>
      <c r="S47" s="272">
        <f>U47/'[2]4'!$N$49</f>
        <v>0.6486486486486487</v>
      </c>
      <c r="T47" s="273">
        <f>U47-'[2]4'!$N$49</f>
        <v>-13</v>
      </c>
      <c r="U47" s="271">
        <f t="shared" si="21"/>
        <v>24</v>
      </c>
      <c r="V47" s="274">
        <v>8</v>
      </c>
      <c r="W47" s="275">
        <f t="shared" si="22"/>
        <v>8</v>
      </c>
      <c r="X47" s="274">
        <v>16</v>
      </c>
      <c r="Y47" s="274"/>
      <c r="Z47" s="274"/>
      <c r="AA47" s="271">
        <f t="shared" si="23"/>
        <v>0</v>
      </c>
      <c r="AB47" s="274">
        <v>0</v>
      </c>
      <c r="AC47" s="275">
        <f t="shared" si="24"/>
        <v>0</v>
      </c>
      <c r="AD47" s="271">
        <f t="shared" si="14"/>
        <v>0</v>
      </c>
      <c r="AE47" s="274">
        <v>0</v>
      </c>
      <c r="AF47" s="274">
        <v>0</v>
      </c>
    </row>
    <row r="48" spans="1:32" s="56" customFormat="1" ht="15.75">
      <c r="A48" s="67">
        <v>36</v>
      </c>
      <c r="B48" s="268" t="s">
        <v>388</v>
      </c>
      <c r="C48" s="152">
        <f t="shared" si="18"/>
        <v>3722</v>
      </c>
      <c r="D48" s="9">
        <v>1241</v>
      </c>
      <c r="E48" s="269">
        <f t="shared" si="15"/>
        <v>1240.5</v>
      </c>
      <c r="F48" s="9">
        <v>2481</v>
      </c>
      <c r="G48" s="152">
        <f t="shared" si="16"/>
        <v>24</v>
      </c>
      <c r="H48" s="9">
        <v>8</v>
      </c>
      <c r="I48" s="269">
        <f t="shared" si="17"/>
        <v>8</v>
      </c>
      <c r="J48" s="9">
        <v>16</v>
      </c>
      <c r="K48" s="270">
        <f>M48/'[2]4'!$J$50</f>
        <v>0</v>
      </c>
      <c r="L48" s="9">
        <f>M48-'[2]4'!$J$50</f>
        <v>-14</v>
      </c>
      <c r="M48" s="152">
        <f t="shared" si="6"/>
        <v>0</v>
      </c>
      <c r="N48" s="9">
        <v>0</v>
      </c>
      <c r="O48" s="269">
        <f t="shared" si="19"/>
        <v>0</v>
      </c>
      <c r="P48" s="9">
        <v>0</v>
      </c>
      <c r="Q48" s="9">
        <v>0</v>
      </c>
      <c r="R48" s="271">
        <f t="shared" si="20"/>
        <v>23</v>
      </c>
      <c r="S48" s="272">
        <f>U48/'[2]4'!$N$50</f>
        <v>0.5142857142857142</v>
      </c>
      <c r="T48" s="273">
        <f>U48-'[2]4'!$N$50</f>
        <v>-17</v>
      </c>
      <c r="U48" s="271">
        <f t="shared" si="21"/>
        <v>18</v>
      </c>
      <c r="V48" s="274">
        <v>6</v>
      </c>
      <c r="W48" s="275">
        <f t="shared" si="22"/>
        <v>6</v>
      </c>
      <c r="X48" s="274">
        <v>12</v>
      </c>
      <c r="Y48" s="274"/>
      <c r="Z48" s="274"/>
      <c r="AA48" s="271">
        <f t="shared" si="23"/>
        <v>5</v>
      </c>
      <c r="AB48" s="274">
        <v>2</v>
      </c>
      <c r="AC48" s="275">
        <f t="shared" si="24"/>
        <v>1.5</v>
      </c>
      <c r="AD48" s="271">
        <f t="shared" si="14"/>
        <v>3</v>
      </c>
      <c r="AE48" s="274">
        <v>1</v>
      </c>
      <c r="AF48" s="274">
        <v>2</v>
      </c>
    </row>
    <row r="49" spans="1:32" s="56" customFormat="1" ht="15.75">
      <c r="A49" s="67">
        <v>37</v>
      </c>
      <c r="B49" s="268" t="s">
        <v>389</v>
      </c>
      <c r="C49" s="152">
        <f t="shared" si="18"/>
        <v>3408</v>
      </c>
      <c r="D49" s="9">
        <v>1136</v>
      </c>
      <c r="E49" s="269">
        <f t="shared" si="15"/>
        <v>1136</v>
      </c>
      <c r="F49" s="9">
        <v>2272</v>
      </c>
      <c r="G49" s="152">
        <f t="shared" si="16"/>
        <v>8</v>
      </c>
      <c r="H49" s="9">
        <v>3</v>
      </c>
      <c r="I49" s="269">
        <f t="shared" si="17"/>
        <v>2.5</v>
      </c>
      <c r="J49" s="9">
        <v>5</v>
      </c>
      <c r="K49" s="270">
        <f>M49/'[2]4'!$J$51</f>
        <v>0.7272727272727273</v>
      </c>
      <c r="L49" s="9">
        <f>M49-'[2]4'!$J$51</f>
        <v>-3</v>
      </c>
      <c r="M49" s="152">
        <f t="shared" si="6"/>
        <v>8</v>
      </c>
      <c r="N49" s="9">
        <v>3</v>
      </c>
      <c r="O49" s="269">
        <f t="shared" si="19"/>
        <v>2.5</v>
      </c>
      <c r="P49" s="9">
        <v>5</v>
      </c>
      <c r="Q49" s="9">
        <f>1+4</f>
        <v>5</v>
      </c>
      <c r="R49" s="271">
        <f t="shared" si="20"/>
        <v>15</v>
      </c>
      <c r="S49" s="272">
        <f>U49/'[2]4'!$N$51</f>
        <v>0.625</v>
      </c>
      <c r="T49" s="273">
        <f>U49-'[2]4'!$N$51</f>
        <v>-9</v>
      </c>
      <c r="U49" s="271">
        <f t="shared" si="21"/>
        <v>15</v>
      </c>
      <c r="V49" s="274">
        <v>5</v>
      </c>
      <c r="W49" s="275">
        <f t="shared" si="22"/>
        <v>5</v>
      </c>
      <c r="X49" s="274">
        <v>10</v>
      </c>
      <c r="Y49" s="274"/>
      <c r="Z49" s="274"/>
      <c r="AA49" s="271">
        <f t="shared" si="23"/>
        <v>0</v>
      </c>
      <c r="AB49" s="274">
        <v>0</v>
      </c>
      <c r="AC49" s="275">
        <f t="shared" si="24"/>
        <v>0</v>
      </c>
      <c r="AD49" s="271">
        <f t="shared" si="14"/>
        <v>0</v>
      </c>
      <c r="AE49" s="274">
        <v>0</v>
      </c>
      <c r="AF49" s="274">
        <v>0</v>
      </c>
    </row>
    <row r="50" spans="1:32" s="56" customFormat="1" ht="15.75">
      <c r="A50" s="67">
        <v>38</v>
      </c>
      <c r="B50" s="268" t="s">
        <v>390</v>
      </c>
      <c r="C50" s="152">
        <f t="shared" si="18"/>
        <v>9450</v>
      </c>
      <c r="D50" s="9">
        <v>3150</v>
      </c>
      <c r="E50" s="269">
        <f t="shared" si="15"/>
        <v>3150</v>
      </c>
      <c r="F50" s="9">
        <v>6300</v>
      </c>
      <c r="G50" s="152">
        <f t="shared" si="16"/>
        <v>66</v>
      </c>
      <c r="H50" s="9">
        <v>22</v>
      </c>
      <c r="I50" s="269">
        <f t="shared" si="17"/>
        <v>22</v>
      </c>
      <c r="J50" s="9">
        <v>44</v>
      </c>
      <c r="K50" s="270">
        <f>M50/'[2]4'!$J$52</f>
        <v>0.5348837209302325</v>
      </c>
      <c r="L50" s="9">
        <f>M50-'[2]4'!$J$52</f>
        <v>-80</v>
      </c>
      <c r="M50" s="152">
        <f t="shared" si="6"/>
        <v>92</v>
      </c>
      <c r="N50" s="9">
        <v>34</v>
      </c>
      <c r="O50" s="269">
        <f t="shared" si="19"/>
        <v>29</v>
      </c>
      <c r="P50" s="9">
        <v>58</v>
      </c>
      <c r="Q50" s="9">
        <f>12+46</f>
        <v>58</v>
      </c>
      <c r="R50" s="271">
        <f t="shared" si="20"/>
        <v>21</v>
      </c>
      <c r="S50" s="272">
        <f>U50/'[2]4'!$N$52</f>
        <v>0.5833333333333334</v>
      </c>
      <c r="T50" s="273">
        <f>U50-'[2]4'!$N$52</f>
        <v>-15</v>
      </c>
      <c r="U50" s="271">
        <f t="shared" si="21"/>
        <v>21</v>
      </c>
      <c r="V50" s="281">
        <v>7</v>
      </c>
      <c r="W50" s="275">
        <f t="shared" si="22"/>
        <v>7</v>
      </c>
      <c r="X50" s="274">
        <v>14</v>
      </c>
      <c r="Y50" s="274"/>
      <c r="Z50" s="274"/>
      <c r="AA50" s="271">
        <f t="shared" si="23"/>
        <v>0</v>
      </c>
      <c r="AB50" s="274">
        <v>0</v>
      </c>
      <c r="AC50" s="275">
        <f t="shared" si="24"/>
        <v>0</v>
      </c>
      <c r="AD50" s="271">
        <f t="shared" si="14"/>
        <v>0</v>
      </c>
      <c r="AE50" s="274">
        <v>0</v>
      </c>
      <c r="AF50" s="274">
        <v>0</v>
      </c>
    </row>
    <row r="51" spans="1:32" s="56" customFormat="1" ht="15.75">
      <c r="A51" s="67">
        <v>39</v>
      </c>
      <c r="B51" s="268" t="s">
        <v>391</v>
      </c>
      <c r="C51" s="152">
        <f t="shared" si="18"/>
        <v>8809</v>
      </c>
      <c r="D51" s="9">
        <v>2936</v>
      </c>
      <c r="E51" s="269">
        <f t="shared" si="15"/>
        <v>2936.5</v>
      </c>
      <c r="F51" s="9">
        <v>5873</v>
      </c>
      <c r="G51" s="152">
        <f t="shared" si="16"/>
        <v>72</v>
      </c>
      <c r="H51" s="9">
        <v>24</v>
      </c>
      <c r="I51" s="269">
        <f t="shared" si="17"/>
        <v>24</v>
      </c>
      <c r="J51" s="9">
        <v>48</v>
      </c>
      <c r="K51" s="270">
        <f>M51/'[2]4'!$J$53</f>
        <v>0.55</v>
      </c>
      <c r="L51" s="9">
        <f>M51-'[2]4'!$J$53</f>
        <v>-27</v>
      </c>
      <c r="M51" s="152">
        <f t="shared" si="6"/>
        <v>33</v>
      </c>
      <c r="N51" s="9">
        <v>11</v>
      </c>
      <c r="O51" s="269">
        <f t="shared" si="19"/>
        <v>11</v>
      </c>
      <c r="P51" s="9">
        <v>22</v>
      </c>
      <c r="Q51" s="9">
        <f>6+16</f>
        <v>22</v>
      </c>
      <c r="R51" s="271">
        <f t="shared" si="20"/>
        <v>12</v>
      </c>
      <c r="S51" s="272">
        <f>U51/'[2]4'!$N$53</f>
        <v>0.28125</v>
      </c>
      <c r="T51" s="273">
        <f>U51-'[2]4'!$N$53</f>
        <v>-23</v>
      </c>
      <c r="U51" s="271">
        <f t="shared" si="21"/>
        <v>9</v>
      </c>
      <c r="V51" s="274">
        <v>3</v>
      </c>
      <c r="W51" s="275">
        <f t="shared" si="22"/>
        <v>3</v>
      </c>
      <c r="X51" s="274">
        <v>6</v>
      </c>
      <c r="Y51" s="274"/>
      <c r="Z51" s="274"/>
      <c r="AA51" s="271">
        <f t="shared" si="23"/>
        <v>3</v>
      </c>
      <c r="AB51" s="274">
        <v>1</v>
      </c>
      <c r="AC51" s="275">
        <f t="shared" si="24"/>
        <v>1</v>
      </c>
      <c r="AD51" s="271">
        <f t="shared" si="14"/>
        <v>2</v>
      </c>
      <c r="AE51" s="274">
        <v>2</v>
      </c>
      <c r="AF51" s="274">
        <v>0</v>
      </c>
    </row>
    <row r="52" spans="1:33" s="56" customFormat="1" ht="15.75">
      <c r="A52" s="67">
        <v>40</v>
      </c>
      <c r="B52" s="268" t="s">
        <v>392</v>
      </c>
      <c r="C52" s="279">
        <f t="shared" si="18"/>
        <v>21060</v>
      </c>
      <c r="D52" s="9">
        <v>7020</v>
      </c>
      <c r="E52" s="269">
        <f t="shared" si="15"/>
        <v>7020</v>
      </c>
      <c r="F52" s="285">
        <v>14040</v>
      </c>
      <c r="G52" s="152">
        <f t="shared" si="16"/>
        <v>342</v>
      </c>
      <c r="H52" s="9">
        <v>114</v>
      </c>
      <c r="I52" s="269">
        <f t="shared" si="17"/>
        <v>114</v>
      </c>
      <c r="J52" s="9">
        <v>228</v>
      </c>
      <c r="K52" s="270">
        <f>M52/'[2]4'!$J$54</f>
        <v>0.8461538461538461</v>
      </c>
      <c r="L52" s="9">
        <f>M52-'[2]4'!$J$54</f>
        <v>-18</v>
      </c>
      <c r="M52" s="152">
        <f t="shared" si="6"/>
        <v>99</v>
      </c>
      <c r="N52" s="9">
        <v>33</v>
      </c>
      <c r="O52" s="269">
        <f t="shared" si="19"/>
        <v>33</v>
      </c>
      <c r="P52" s="9">
        <v>66</v>
      </c>
      <c r="Q52" s="9">
        <f>54+12</f>
        <v>66</v>
      </c>
      <c r="R52" s="271">
        <f t="shared" si="20"/>
        <v>76</v>
      </c>
      <c r="S52" s="272">
        <f>U52/'[2]4'!$N$54</f>
        <v>0.5461538461538461</v>
      </c>
      <c r="T52" s="273">
        <f>U52-'[2]4'!$N$54</f>
        <v>-59</v>
      </c>
      <c r="U52" s="271">
        <f t="shared" si="21"/>
        <v>71</v>
      </c>
      <c r="V52" s="281">
        <v>24</v>
      </c>
      <c r="W52" s="275">
        <f t="shared" si="22"/>
        <v>23.5</v>
      </c>
      <c r="X52" s="274">
        <v>47</v>
      </c>
      <c r="Y52" s="274"/>
      <c r="Z52" s="274"/>
      <c r="AA52" s="271">
        <f t="shared" si="23"/>
        <v>5</v>
      </c>
      <c r="AB52" s="274">
        <v>2</v>
      </c>
      <c r="AC52" s="275">
        <f t="shared" si="24"/>
        <v>1.5</v>
      </c>
      <c r="AD52" s="271">
        <f t="shared" si="14"/>
        <v>3</v>
      </c>
      <c r="AE52" s="274">
        <v>3</v>
      </c>
      <c r="AF52" s="274">
        <v>0</v>
      </c>
      <c r="AG52" s="56" t="s">
        <v>605</v>
      </c>
    </row>
    <row r="53" spans="1:32" s="56" customFormat="1" ht="15.75">
      <c r="A53" s="67">
        <v>41</v>
      </c>
      <c r="B53" s="268" t="s">
        <v>545</v>
      </c>
      <c r="C53" s="152">
        <f t="shared" si="18"/>
        <v>6429</v>
      </c>
      <c r="D53" s="9">
        <v>2143</v>
      </c>
      <c r="E53" s="269">
        <f t="shared" si="15"/>
        <v>2143</v>
      </c>
      <c r="F53" s="9">
        <v>4286</v>
      </c>
      <c r="G53" s="152">
        <f t="shared" si="16"/>
        <v>37</v>
      </c>
      <c r="H53" s="9">
        <v>12</v>
      </c>
      <c r="I53" s="269">
        <f t="shared" si="17"/>
        <v>12.5</v>
      </c>
      <c r="J53" s="9">
        <v>25</v>
      </c>
      <c r="K53" s="270">
        <f>M53/'[2]4'!$J$55</f>
        <v>0.5142857142857142</v>
      </c>
      <c r="L53" s="9">
        <f>M53-'[2]4'!$J$55</f>
        <v>-17</v>
      </c>
      <c r="M53" s="152">
        <f t="shared" si="6"/>
        <v>18</v>
      </c>
      <c r="N53" s="9">
        <v>6</v>
      </c>
      <c r="O53" s="269">
        <f t="shared" si="19"/>
        <v>6</v>
      </c>
      <c r="P53" s="9">
        <v>12</v>
      </c>
      <c r="Q53" s="9">
        <v>12</v>
      </c>
      <c r="R53" s="271">
        <f t="shared" si="20"/>
        <v>9</v>
      </c>
      <c r="S53" s="272">
        <f>U53/'[2]4'!$N$55</f>
        <v>0.3</v>
      </c>
      <c r="T53" s="273">
        <f>U53-'[2]4'!$N$55</f>
        <v>-21</v>
      </c>
      <c r="U53" s="271">
        <f t="shared" si="21"/>
        <v>9</v>
      </c>
      <c r="V53" s="274">
        <v>3</v>
      </c>
      <c r="W53" s="275">
        <f t="shared" si="22"/>
        <v>3</v>
      </c>
      <c r="X53" s="274">
        <v>6</v>
      </c>
      <c r="Y53" s="274"/>
      <c r="Z53" s="274"/>
      <c r="AA53" s="271">
        <f t="shared" si="23"/>
        <v>0</v>
      </c>
      <c r="AB53" s="283"/>
      <c r="AC53" s="275">
        <f t="shared" si="24"/>
        <v>0</v>
      </c>
      <c r="AD53" s="271">
        <f t="shared" si="14"/>
        <v>0</v>
      </c>
      <c r="AE53" s="283"/>
      <c r="AF53" s="283"/>
    </row>
    <row r="54" spans="1:32" s="56" customFormat="1" ht="15.75">
      <c r="A54" s="67">
        <v>42</v>
      </c>
      <c r="B54" s="268" t="s">
        <v>394</v>
      </c>
      <c r="C54" s="152">
        <f t="shared" si="18"/>
        <v>2087</v>
      </c>
      <c r="D54" s="9">
        <v>696</v>
      </c>
      <c r="E54" s="269">
        <f t="shared" si="15"/>
        <v>695.5</v>
      </c>
      <c r="F54" s="9">
        <v>1391</v>
      </c>
      <c r="G54" s="152">
        <f t="shared" si="16"/>
        <v>21</v>
      </c>
      <c r="H54" s="9">
        <v>7</v>
      </c>
      <c r="I54" s="269">
        <f t="shared" si="17"/>
        <v>7</v>
      </c>
      <c r="J54" s="9">
        <v>14</v>
      </c>
      <c r="K54" s="270">
        <f>M54/'[2]4'!$J$56</f>
        <v>0.8115942028985508</v>
      </c>
      <c r="L54" s="9">
        <f>M54-'[2]4'!$J$56</f>
        <v>-13</v>
      </c>
      <c r="M54" s="152">
        <f t="shared" si="6"/>
        <v>56</v>
      </c>
      <c r="N54" s="9">
        <v>9</v>
      </c>
      <c r="O54" s="269">
        <f t="shared" si="19"/>
        <v>23.5</v>
      </c>
      <c r="P54" s="9">
        <v>47</v>
      </c>
      <c r="Q54" s="9">
        <f>10+37</f>
        <v>47</v>
      </c>
      <c r="R54" s="271">
        <f t="shared" si="20"/>
        <v>12</v>
      </c>
      <c r="S54" s="272">
        <f>U54/'[2]4'!$N$56</f>
        <v>1.5</v>
      </c>
      <c r="T54" s="273">
        <f>U54-'[2]4'!$N$56</f>
        <v>4</v>
      </c>
      <c r="U54" s="271">
        <f t="shared" si="21"/>
        <v>12</v>
      </c>
      <c r="V54" s="274">
        <v>4</v>
      </c>
      <c r="W54" s="275">
        <f t="shared" si="22"/>
        <v>4</v>
      </c>
      <c r="X54" s="274">
        <v>8</v>
      </c>
      <c r="Y54" s="274"/>
      <c r="Z54" s="274"/>
      <c r="AA54" s="271">
        <f t="shared" si="23"/>
        <v>0</v>
      </c>
      <c r="AB54" s="283"/>
      <c r="AC54" s="275">
        <f t="shared" si="24"/>
        <v>0</v>
      </c>
      <c r="AD54" s="271">
        <f t="shared" si="14"/>
        <v>0</v>
      </c>
      <c r="AE54" s="283"/>
      <c r="AF54" s="283"/>
    </row>
    <row r="55" spans="1:32" s="56" customFormat="1" ht="15.75">
      <c r="A55" s="67">
        <v>43</v>
      </c>
      <c r="B55" s="268" t="s">
        <v>395</v>
      </c>
      <c r="C55" s="152">
        <f t="shared" si="18"/>
        <v>7243</v>
      </c>
      <c r="D55" s="9">
        <v>2414</v>
      </c>
      <c r="E55" s="269">
        <f t="shared" si="15"/>
        <v>2414.5</v>
      </c>
      <c r="F55" s="9">
        <v>4829</v>
      </c>
      <c r="G55" s="152">
        <f t="shared" si="16"/>
        <v>24</v>
      </c>
      <c r="H55" s="9">
        <v>8</v>
      </c>
      <c r="I55" s="269">
        <f t="shared" si="17"/>
        <v>8</v>
      </c>
      <c r="J55" s="9">
        <v>16</v>
      </c>
      <c r="K55" s="270">
        <f>M55/'[2]4'!$J$57</f>
        <v>0.5555555555555556</v>
      </c>
      <c r="L55" s="9">
        <f>M55-'[2]4'!$J$57</f>
        <v>-36</v>
      </c>
      <c r="M55" s="152">
        <f t="shared" si="6"/>
        <v>45</v>
      </c>
      <c r="N55" s="9">
        <v>16</v>
      </c>
      <c r="O55" s="269">
        <f t="shared" si="19"/>
        <v>14.5</v>
      </c>
      <c r="P55" s="9">
        <v>29</v>
      </c>
      <c r="Q55" s="9">
        <f>2+27</f>
        <v>29</v>
      </c>
      <c r="R55" s="271">
        <f t="shared" si="20"/>
        <v>9</v>
      </c>
      <c r="S55" s="272">
        <f>U55/'[2]4'!$N$57</f>
        <v>0.2571428571428571</v>
      </c>
      <c r="T55" s="273">
        <f>U55-'[2]4'!$N$57</f>
        <v>-26</v>
      </c>
      <c r="U55" s="271">
        <f t="shared" si="21"/>
        <v>9</v>
      </c>
      <c r="V55" s="274">
        <v>3</v>
      </c>
      <c r="W55" s="275">
        <f t="shared" si="22"/>
        <v>3</v>
      </c>
      <c r="X55" s="274">
        <v>6</v>
      </c>
      <c r="Y55" s="274"/>
      <c r="Z55" s="274"/>
      <c r="AA55" s="271">
        <f t="shared" si="23"/>
        <v>0</v>
      </c>
      <c r="AB55" s="283"/>
      <c r="AC55" s="275">
        <f t="shared" si="24"/>
        <v>0</v>
      </c>
      <c r="AD55" s="271">
        <f t="shared" si="14"/>
        <v>0</v>
      </c>
      <c r="AE55" s="283"/>
      <c r="AF55" s="283"/>
    </row>
    <row r="56" spans="1:32" s="56" customFormat="1" ht="15.75">
      <c r="A56" s="67">
        <v>44</v>
      </c>
      <c r="B56" s="268" t="s">
        <v>396</v>
      </c>
      <c r="C56" s="152">
        <f t="shared" si="18"/>
        <v>3519</v>
      </c>
      <c r="D56" s="9">
        <v>1148</v>
      </c>
      <c r="E56" s="269">
        <f t="shared" si="15"/>
        <v>1185.5</v>
      </c>
      <c r="F56" s="9">
        <v>2371</v>
      </c>
      <c r="G56" s="152">
        <f t="shared" si="16"/>
        <v>25</v>
      </c>
      <c r="H56" s="9">
        <v>8</v>
      </c>
      <c r="I56" s="269">
        <f t="shared" si="17"/>
        <v>8.5</v>
      </c>
      <c r="J56" s="9">
        <v>17</v>
      </c>
      <c r="K56" s="270">
        <f>M56/'[2]4'!$J$58</f>
        <v>0.4778761061946903</v>
      </c>
      <c r="L56" s="9">
        <f>M56-'[2]4'!$J$58</f>
        <v>-59</v>
      </c>
      <c r="M56" s="152">
        <f t="shared" si="6"/>
        <v>54</v>
      </c>
      <c r="N56" s="9">
        <v>11</v>
      </c>
      <c r="O56" s="269">
        <f t="shared" si="19"/>
        <v>21.5</v>
      </c>
      <c r="P56" s="9">
        <v>43</v>
      </c>
      <c r="Q56" s="9">
        <f>18+25</f>
        <v>43</v>
      </c>
      <c r="R56" s="271">
        <f t="shared" si="20"/>
        <v>4</v>
      </c>
      <c r="S56" s="272">
        <f>U56/'[2]4'!$N$58</f>
        <v>0.2</v>
      </c>
      <c r="T56" s="273">
        <f>U56-'[2]4'!$N$58</f>
        <v>-16</v>
      </c>
      <c r="U56" s="271">
        <f t="shared" si="21"/>
        <v>4</v>
      </c>
      <c r="V56" s="274">
        <v>1</v>
      </c>
      <c r="W56" s="275">
        <f t="shared" si="22"/>
        <v>1.5</v>
      </c>
      <c r="X56" s="274">
        <v>3</v>
      </c>
      <c r="Y56" s="274"/>
      <c r="Z56" s="274"/>
      <c r="AA56" s="271">
        <f t="shared" si="23"/>
        <v>0</v>
      </c>
      <c r="AB56" s="274">
        <v>0</v>
      </c>
      <c r="AC56" s="275">
        <f t="shared" si="24"/>
        <v>0</v>
      </c>
      <c r="AD56" s="271">
        <f t="shared" si="14"/>
        <v>0</v>
      </c>
      <c r="AE56" s="274">
        <v>0</v>
      </c>
      <c r="AF56" s="274">
        <v>0</v>
      </c>
    </row>
    <row r="57" spans="1:32" s="56" customFormat="1" ht="15.75">
      <c r="A57" s="67">
        <v>45</v>
      </c>
      <c r="B57" s="268" t="s">
        <v>397</v>
      </c>
      <c r="C57" s="152">
        <f t="shared" si="18"/>
        <v>5604</v>
      </c>
      <c r="D57" s="9">
        <v>1868</v>
      </c>
      <c r="E57" s="269">
        <f t="shared" si="15"/>
        <v>1868</v>
      </c>
      <c r="F57" s="9">
        <v>3736</v>
      </c>
      <c r="G57" s="152">
        <f t="shared" si="16"/>
        <v>69</v>
      </c>
      <c r="H57" s="9">
        <v>23</v>
      </c>
      <c r="I57" s="269">
        <f t="shared" si="17"/>
        <v>23</v>
      </c>
      <c r="J57" s="9">
        <v>46</v>
      </c>
      <c r="K57" s="270">
        <f>M57/'[2]4'!$J$59</f>
        <v>0</v>
      </c>
      <c r="L57" s="9">
        <f>M57-'[2]4'!$J$59</f>
        <v>-28</v>
      </c>
      <c r="M57" s="152">
        <f t="shared" si="6"/>
        <v>0</v>
      </c>
      <c r="N57" s="9"/>
      <c r="O57" s="269">
        <f t="shared" si="19"/>
        <v>0</v>
      </c>
      <c r="P57" s="9"/>
      <c r="Q57" s="9"/>
      <c r="R57" s="271">
        <f t="shared" si="20"/>
        <v>0</v>
      </c>
      <c r="S57" s="272">
        <f>U57/'[2]4'!$N$59</f>
        <v>0</v>
      </c>
      <c r="T57" s="273">
        <f>U57-'[2]4'!$N$59</f>
        <v>-13</v>
      </c>
      <c r="U57" s="271">
        <f t="shared" si="21"/>
        <v>0</v>
      </c>
      <c r="V57" s="283"/>
      <c r="W57" s="275">
        <f t="shared" si="22"/>
        <v>0</v>
      </c>
      <c r="X57" s="283"/>
      <c r="Y57" s="283"/>
      <c r="Z57" s="283"/>
      <c r="AA57" s="271">
        <f t="shared" si="23"/>
        <v>0</v>
      </c>
      <c r="AB57" s="283"/>
      <c r="AC57" s="275">
        <f t="shared" si="24"/>
        <v>0</v>
      </c>
      <c r="AD57" s="271">
        <f t="shared" si="14"/>
        <v>0</v>
      </c>
      <c r="AE57" s="283"/>
      <c r="AF57" s="283"/>
    </row>
    <row r="58" spans="1:32" s="56" customFormat="1" ht="15.75">
      <c r="A58" s="67">
        <v>46</v>
      </c>
      <c r="B58" s="268" t="s">
        <v>398</v>
      </c>
      <c r="C58" s="152">
        <f t="shared" si="18"/>
        <v>6541</v>
      </c>
      <c r="D58" s="9">
        <v>2180</v>
      </c>
      <c r="E58" s="269">
        <f t="shared" si="15"/>
        <v>2180.5</v>
      </c>
      <c r="F58" s="9">
        <v>4361</v>
      </c>
      <c r="G58" s="152">
        <f t="shared" si="16"/>
        <v>85</v>
      </c>
      <c r="H58" s="9">
        <v>28</v>
      </c>
      <c r="I58" s="269">
        <f t="shared" si="17"/>
        <v>28.5</v>
      </c>
      <c r="J58" s="9">
        <v>57</v>
      </c>
      <c r="K58" s="270">
        <f>M58/'[2]4'!$J$60</f>
        <v>0.4634146341463415</v>
      </c>
      <c r="L58" s="9">
        <f>M58-'[2]4'!$J$60</f>
        <v>-44</v>
      </c>
      <c r="M58" s="152">
        <f>N58+P59</f>
        <v>38</v>
      </c>
      <c r="N58" s="9"/>
      <c r="O58" s="269">
        <f t="shared" si="19"/>
        <v>0</v>
      </c>
      <c r="P58" s="287"/>
      <c r="Q58" s="287"/>
      <c r="R58" s="271">
        <f t="shared" si="20"/>
        <v>23</v>
      </c>
      <c r="S58" s="272">
        <f>U58/'[2]4'!$N$60</f>
        <v>0.5862068965517241</v>
      </c>
      <c r="T58" s="273">
        <f>U58-'[2]4'!$N$60</f>
        <v>-12</v>
      </c>
      <c r="U58" s="271">
        <f t="shared" si="21"/>
        <v>17</v>
      </c>
      <c r="V58" s="274">
        <v>6</v>
      </c>
      <c r="W58" s="275">
        <f t="shared" si="22"/>
        <v>5.5</v>
      </c>
      <c r="X58" s="274">
        <v>11</v>
      </c>
      <c r="Y58" s="274"/>
      <c r="Z58" s="274"/>
      <c r="AA58" s="271">
        <f t="shared" si="23"/>
        <v>6</v>
      </c>
      <c r="AB58" s="274">
        <v>2</v>
      </c>
      <c r="AC58" s="275">
        <f t="shared" si="24"/>
        <v>2</v>
      </c>
      <c r="AD58" s="271">
        <f t="shared" si="14"/>
        <v>4</v>
      </c>
      <c r="AE58" s="274">
        <v>3</v>
      </c>
      <c r="AF58" s="274">
        <v>1</v>
      </c>
    </row>
    <row r="59" spans="1:32" s="56" customFormat="1" ht="15.75">
      <c r="A59" s="67">
        <v>47</v>
      </c>
      <c r="B59" s="268" t="s">
        <v>399</v>
      </c>
      <c r="C59" s="152">
        <f t="shared" si="18"/>
        <v>6138</v>
      </c>
      <c r="D59" s="9">
        <v>2046</v>
      </c>
      <c r="E59" s="269">
        <f t="shared" si="15"/>
        <v>2046</v>
      </c>
      <c r="F59" s="9">
        <v>4092</v>
      </c>
      <c r="G59" s="152">
        <f t="shared" si="16"/>
        <v>100.5</v>
      </c>
      <c r="H59" s="9">
        <v>33.5</v>
      </c>
      <c r="I59" s="269">
        <f t="shared" si="17"/>
        <v>33.5</v>
      </c>
      <c r="J59" s="9">
        <v>67</v>
      </c>
      <c r="K59" s="270">
        <f>M59/'[2]4'!$J$61</f>
        <v>1.0746268656716418</v>
      </c>
      <c r="L59" s="9">
        <f>M59-'[2]4'!$J$61</f>
        <v>5</v>
      </c>
      <c r="M59" s="152">
        <f>N59+P60</f>
        <v>72</v>
      </c>
      <c r="N59" s="9">
        <v>19</v>
      </c>
      <c r="O59" s="269">
        <f t="shared" si="19"/>
        <v>19</v>
      </c>
      <c r="P59" s="9">
        <v>38</v>
      </c>
      <c r="Q59" s="9">
        <f>9+29</f>
        <v>38</v>
      </c>
      <c r="R59" s="271">
        <f t="shared" si="20"/>
        <v>15</v>
      </c>
      <c r="S59" s="272">
        <f>U59/'[2]4'!$N$61</f>
        <v>1.3636363636363635</v>
      </c>
      <c r="T59" s="273">
        <f>U59-'[2]4'!$N$61</f>
        <v>4</v>
      </c>
      <c r="U59" s="271">
        <f t="shared" si="21"/>
        <v>15</v>
      </c>
      <c r="V59" s="274">
        <v>5</v>
      </c>
      <c r="W59" s="275">
        <f t="shared" si="22"/>
        <v>5</v>
      </c>
      <c r="X59" s="274">
        <v>10</v>
      </c>
      <c r="Y59" s="274"/>
      <c r="Z59" s="274"/>
      <c r="AA59" s="271">
        <f t="shared" si="23"/>
        <v>0</v>
      </c>
      <c r="AB59" s="274">
        <v>0</v>
      </c>
      <c r="AC59" s="275">
        <f t="shared" si="24"/>
        <v>0</v>
      </c>
      <c r="AD59" s="271">
        <f t="shared" si="14"/>
        <v>0</v>
      </c>
      <c r="AE59" s="274">
        <v>0</v>
      </c>
      <c r="AF59" s="274">
        <v>0</v>
      </c>
    </row>
    <row r="60" spans="1:33" s="56" customFormat="1" ht="15.75">
      <c r="A60" s="67">
        <v>48</v>
      </c>
      <c r="B60" s="268" t="s">
        <v>400</v>
      </c>
      <c r="C60" s="152">
        <f t="shared" si="18"/>
        <v>6600</v>
      </c>
      <c r="D60" s="9">
        <v>2200</v>
      </c>
      <c r="E60" s="269">
        <f t="shared" si="15"/>
        <v>2200</v>
      </c>
      <c r="F60" s="9">
        <v>4400</v>
      </c>
      <c r="G60" s="152">
        <f t="shared" si="16"/>
        <v>88.5</v>
      </c>
      <c r="H60" s="9">
        <v>29.5</v>
      </c>
      <c r="I60" s="269">
        <f t="shared" si="17"/>
        <v>29.5</v>
      </c>
      <c r="J60" s="9">
        <v>59</v>
      </c>
      <c r="K60" s="270">
        <f>M60/'[2]4'!$J$62</f>
        <v>0.3062015503875969</v>
      </c>
      <c r="L60" s="9">
        <f>M60-'[2]4'!$J$62</f>
        <v>-89.5</v>
      </c>
      <c r="M60" s="152">
        <f>N60+P61</f>
        <v>39.5</v>
      </c>
      <c r="N60" s="9">
        <v>26.5</v>
      </c>
      <c r="O60" s="269">
        <f t="shared" si="19"/>
        <v>26.5</v>
      </c>
      <c r="P60" s="9">
        <v>53</v>
      </c>
      <c r="Q60" s="9">
        <f>18+35</f>
        <v>53</v>
      </c>
      <c r="R60" s="271">
        <f t="shared" si="20"/>
        <v>51</v>
      </c>
      <c r="S60" s="272">
        <f>U60/'[2]4'!$N$62</f>
        <v>0.68</v>
      </c>
      <c r="T60" s="273">
        <f>U60-'[2]4'!$N$62</f>
        <v>-24</v>
      </c>
      <c r="U60" s="271">
        <f t="shared" si="21"/>
        <v>51</v>
      </c>
      <c r="V60" s="281">
        <v>17</v>
      </c>
      <c r="W60" s="275">
        <f t="shared" si="22"/>
        <v>17</v>
      </c>
      <c r="X60" s="274">
        <v>34</v>
      </c>
      <c r="Y60" s="274"/>
      <c r="Z60" s="274"/>
      <c r="AA60" s="271">
        <f t="shared" si="23"/>
        <v>0</v>
      </c>
      <c r="AB60" s="283"/>
      <c r="AC60" s="275">
        <f t="shared" si="24"/>
        <v>0</v>
      </c>
      <c r="AD60" s="271">
        <f t="shared" si="14"/>
        <v>0</v>
      </c>
      <c r="AE60" s="283"/>
      <c r="AF60" s="283"/>
      <c r="AG60" s="56" t="s">
        <v>606</v>
      </c>
    </row>
    <row r="61" spans="1:32" s="56" customFormat="1" ht="15.75">
      <c r="A61" s="67">
        <v>49</v>
      </c>
      <c r="B61" s="268" t="s">
        <v>401</v>
      </c>
      <c r="C61" s="152">
        <f t="shared" si="18"/>
        <v>3762</v>
      </c>
      <c r="D61" s="9">
        <v>1254</v>
      </c>
      <c r="E61" s="269">
        <f t="shared" si="15"/>
        <v>1254</v>
      </c>
      <c r="F61" s="9">
        <v>2508</v>
      </c>
      <c r="G61" s="152">
        <f t="shared" si="16"/>
        <v>30</v>
      </c>
      <c r="H61" s="9">
        <v>10</v>
      </c>
      <c r="I61" s="269">
        <f t="shared" si="17"/>
        <v>10</v>
      </c>
      <c r="J61" s="9">
        <v>20</v>
      </c>
      <c r="K61" s="270">
        <f>M61/'[2]4'!$J$63</f>
        <v>3.1333333333333333</v>
      </c>
      <c r="L61" s="9">
        <f>M61-'[2]4'!$J$63</f>
        <v>64</v>
      </c>
      <c r="M61" s="152">
        <f>N61+P62</f>
        <v>94</v>
      </c>
      <c r="N61" s="9">
        <v>6</v>
      </c>
      <c r="O61" s="269">
        <f t="shared" si="19"/>
        <v>6.5</v>
      </c>
      <c r="P61" s="9">
        <v>13</v>
      </c>
      <c r="Q61" s="9">
        <f>1+12</f>
        <v>13</v>
      </c>
      <c r="R61" s="271">
        <f t="shared" si="20"/>
        <v>9</v>
      </c>
      <c r="S61" s="272">
        <f>U61/'[2]4'!$N$63</f>
        <v>0.6428571428571429</v>
      </c>
      <c r="T61" s="273">
        <f>U61-'[2]4'!$N$63</f>
        <v>-5</v>
      </c>
      <c r="U61" s="271">
        <f t="shared" si="21"/>
        <v>9</v>
      </c>
      <c r="V61" s="274">
        <v>3</v>
      </c>
      <c r="W61" s="275">
        <f t="shared" si="22"/>
        <v>3</v>
      </c>
      <c r="X61" s="274">
        <v>6</v>
      </c>
      <c r="Y61" s="274"/>
      <c r="Z61" s="274"/>
      <c r="AA61" s="271">
        <f t="shared" si="23"/>
        <v>0</v>
      </c>
      <c r="AB61" s="274">
        <v>0</v>
      </c>
      <c r="AC61" s="275">
        <f t="shared" si="24"/>
        <v>0</v>
      </c>
      <c r="AD61" s="271">
        <f t="shared" si="14"/>
        <v>0</v>
      </c>
      <c r="AE61" s="274">
        <v>0</v>
      </c>
      <c r="AF61" s="274">
        <v>0</v>
      </c>
    </row>
    <row r="62" spans="1:32" s="56" customFormat="1" ht="15.75">
      <c r="A62" s="67">
        <v>50</v>
      </c>
      <c r="B62" s="268" t="s">
        <v>402</v>
      </c>
      <c r="C62" s="152">
        <f t="shared" si="18"/>
        <v>8891</v>
      </c>
      <c r="D62" s="9">
        <v>2964</v>
      </c>
      <c r="E62" s="269">
        <f t="shared" si="15"/>
        <v>2963.5</v>
      </c>
      <c r="F62" s="9">
        <v>5927</v>
      </c>
      <c r="G62" s="152">
        <f t="shared" si="16"/>
        <v>8</v>
      </c>
      <c r="H62" s="9">
        <v>3</v>
      </c>
      <c r="I62" s="269">
        <f t="shared" si="17"/>
        <v>2.5</v>
      </c>
      <c r="J62" s="9">
        <v>5</v>
      </c>
      <c r="K62" s="270">
        <f>M62/'[2]4'!$J$64</f>
        <v>0.7374301675977654</v>
      </c>
      <c r="L62" s="9">
        <f>M62-'[2]4'!$J$64</f>
        <v>-47</v>
      </c>
      <c r="M62" s="152">
        <f aca="true" t="shared" si="25" ref="M62:M75">N62+P62</f>
        <v>132</v>
      </c>
      <c r="N62" s="9">
        <v>44</v>
      </c>
      <c r="O62" s="269">
        <f t="shared" si="19"/>
        <v>44</v>
      </c>
      <c r="P62" s="9">
        <v>88</v>
      </c>
      <c r="Q62" s="9">
        <f>11+77</f>
        <v>88</v>
      </c>
      <c r="R62" s="271">
        <f t="shared" si="20"/>
        <v>28</v>
      </c>
      <c r="S62" s="272">
        <f>U62/'[2]4'!$N$64</f>
        <v>0.40625</v>
      </c>
      <c r="T62" s="273">
        <f>U62-'[2]4'!$N$64</f>
        <v>-38</v>
      </c>
      <c r="U62" s="271">
        <f t="shared" si="21"/>
        <v>26</v>
      </c>
      <c r="V62" s="274">
        <v>9</v>
      </c>
      <c r="W62" s="275">
        <f t="shared" si="22"/>
        <v>8.5</v>
      </c>
      <c r="X62" s="274">
        <v>17</v>
      </c>
      <c r="Y62" s="274"/>
      <c r="Z62" s="274"/>
      <c r="AA62" s="271">
        <f t="shared" si="23"/>
        <v>2</v>
      </c>
      <c r="AB62" s="274">
        <v>1</v>
      </c>
      <c r="AC62" s="275">
        <f t="shared" si="24"/>
        <v>0.5</v>
      </c>
      <c r="AD62" s="271">
        <f t="shared" si="14"/>
        <v>1</v>
      </c>
      <c r="AE62" s="274">
        <v>0</v>
      </c>
      <c r="AF62" s="274">
        <v>1</v>
      </c>
    </row>
    <row r="63" spans="1:32" s="56" customFormat="1" ht="15.75">
      <c r="A63" s="67">
        <v>51</v>
      </c>
      <c r="B63" s="268" t="s">
        <v>403</v>
      </c>
      <c r="C63" s="152">
        <f t="shared" si="18"/>
        <v>6498</v>
      </c>
      <c r="D63" s="9">
        <v>2166</v>
      </c>
      <c r="E63" s="269">
        <f t="shared" si="15"/>
        <v>2166</v>
      </c>
      <c r="F63" s="9">
        <v>4332</v>
      </c>
      <c r="G63" s="152">
        <f t="shared" si="16"/>
        <v>99</v>
      </c>
      <c r="H63" s="9">
        <v>33</v>
      </c>
      <c r="I63" s="269">
        <f t="shared" si="17"/>
        <v>33</v>
      </c>
      <c r="J63" s="9">
        <v>66</v>
      </c>
      <c r="K63" s="270">
        <f>M63/'[2]4'!$J$65</f>
        <v>1.6666666666666667</v>
      </c>
      <c r="L63" s="9">
        <f>M63-'[2]4'!$J$65</f>
        <v>2</v>
      </c>
      <c r="M63" s="152">
        <f t="shared" si="25"/>
        <v>5</v>
      </c>
      <c r="N63" s="9">
        <v>2</v>
      </c>
      <c r="O63" s="269">
        <f t="shared" si="19"/>
        <v>1.5</v>
      </c>
      <c r="P63" s="9">
        <v>3</v>
      </c>
      <c r="Q63" s="9">
        <v>3</v>
      </c>
      <c r="R63" s="271">
        <f t="shared" si="20"/>
        <v>71</v>
      </c>
      <c r="S63" s="272">
        <f>U63/'[2]4'!$N$64</f>
        <v>1.109375</v>
      </c>
      <c r="T63" s="273">
        <f>U63-'[2]4'!$N$65</f>
        <v>-3</v>
      </c>
      <c r="U63" s="271">
        <f t="shared" si="21"/>
        <v>71</v>
      </c>
      <c r="V63" s="274">
        <v>24</v>
      </c>
      <c r="W63" s="275">
        <f t="shared" si="22"/>
        <v>23.5</v>
      </c>
      <c r="X63" s="274">
        <v>47</v>
      </c>
      <c r="Y63" s="274"/>
      <c r="Z63" s="274"/>
      <c r="AA63" s="271">
        <f t="shared" si="23"/>
        <v>0</v>
      </c>
      <c r="AB63" s="274">
        <v>0</v>
      </c>
      <c r="AC63" s="275">
        <f t="shared" si="24"/>
        <v>0</v>
      </c>
      <c r="AD63" s="271">
        <f t="shared" si="14"/>
        <v>0</v>
      </c>
      <c r="AE63" s="274">
        <v>0</v>
      </c>
      <c r="AF63" s="274">
        <v>0</v>
      </c>
    </row>
    <row r="64" spans="1:32" s="56" customFormat="1" ht="15.75">
      <c r="A64" s="67">
        <v>52</v>
      </c>
      <c r="B64" s="268" t="s">
        <v>404</v>
      </c>
      <c r="C64" s="152">
        <f t="shared" si="18"/>
        <v>5846</v>
      </c>
      <c r="D64" s="9">
        <v>1949</v>
      </c>
      <c r="E64" s="269">
        <f t="shared" si="15"/>
        <v>1948.5</v>
      </c>
      <c r="F64" s="9">
        <v>3897</v>
      </c>
      <c r="G64" s="152">
        <f t="shared" si="16"/>
        <v>44</v>
      </c>
      <c r="H64" s="9">
        <v>15</v>
      </c>
      <c r="I64" s="269">
        <f t="shared" si="17"/>
        <v>14.5</v>
      </c>
      <c r="J64" s="9">
        <v>29</v>
      </c>
      <c r="K64" s="270">
        <f>M64/'[2]4'!$J$66</f>
        <v>0.4560810810810811</v>
      </c>
      <c r="L64" s="9">
        <f>M64-'[2]4'!$J$66</f>
        <v>-161</v>
      </c>
      <c r="M64" s="152">
        <f t="shared" si="25"/>
        <v>135</v>
      </c>
      <c r="N64" s="9">
        <v>45</v>
      </c>
      <c r="O64" s="269">
        <f t="shared" si="19"/>
        <v>45</v>
      </c>
      <c r="P64" s="9">
        <v>90</v>
      </c>
      <c r="Q64" s="9">
        <f>12+78</f>
        <v>90</v>
      </c>
      <c r="R64" s="271">
        <f t="shared" si="20"/>
        <v>22</v>
      </c>
      <c r="S64" s="272">
        <f>U64/'[2]4'!$N$66</f>
        <v>0.8947368421052632</v>
      </c>
      <c r="T64" s="273">
        <f>U64-'[2]4'!$N$66</f>
        <v>-2</v>
      </c>
      <c r="U64" s="271">
        <f t="shared" si="21"/>
        <v>17</v>
      </c>
      <c r="V64" s="274">
        <v>6</v>
      </c>
      <c r="W64" s="275">
        <f t="shared" si="22"/>
        <v>5.5</v>
      </c>
      <c r="X64" s="274">
        <v>11</v>
      </c>
      <c r="Y64" s="274"/>
      <c r="Z64" s="274"/>
      <c r="AA64" s="271">
        <f t="shared" si="23"/>
        <v>5</v>
      </c>
      <c r="AB64" s="274">
        <v>2</v>
      </c>
      <c r="AC64" s="275">
        <f t="shared" si="24"/>
        <v>1.5</v>
      </c>
      <c r="AD64" s="271">
        <f t="shared" si="14"/>
        <v>3</v>
      </c>
      <c r="AE64" s="274">
        <v>2</v>
      </c>
      <c r="AF64" s="274">
        <v>1</v>
      </c>
    </row>
    <row r="65" spans="1:32" s="56" customFormat="1" ht="15.75">
      <c r="A65" s="67">
        <v>53</v>
      </c>
      <c r="B65" s="268" t="s">
        <v>405</v>
      </c>
      <c r="C65" s="279">
        <f t="shared" si="18"/>
        <v>13223</v>
      </c>
      <c r="D65" s="9">
        <v>5080</v>
      </c>
      <c r="E65" s="269">
        <f t="shared" si="15"/>
        <v>4071.5</v>
      </c>
      <c r="F65" s="9">
        <v>8143</v>
      </c>
      <c r="G65" s="152">
        <f t="shared" si="16"/>
        <v>221</v>
      </c>
      <c r="H65" s="9">
        <v>71</v>
      </c>
      <c r="I65" s="269">
        <f t="shared" si="17"/>
        <v>75</v>
      </c>
      <c r="J65" s="9">
        <v>150</v>
      </c>
      <c r="K65" s="270">
        <f>M65/'[2]4'!$J$67</f>
        <v>0.5596330275229358</v>
      </c>
      <c r="L65" s="9">
        <f>M65-'[2]4'!$J$67</f>
        <v>-48</v>
      </c>
      <c r="M65" s="152">
        <f t="shared" si="25"/>
        <v>61</v>
      </c>
      <c r="N65" s="9">
        <v>10</v>
      </c>
      <c r="O65" s="269">
        <f t="shared" si="19"/>
        <v>25.5</v>
      </c>
      <c r="P65" s="9">
        <v>51</v>
      </c>
      <c r="Q65" s="9">
        <f>16+35</f>
        <v>51</v>
      </c>
      <c r="R65" s="271">
        <f t="shared" si="20"/>
        <v>23</v>
      </c>
      <c r="S65" s="272">
        <f>U65/'[2]4'!$N$67</f>
        <v>0.5526315789473685</v>
      </c>
      <c r="T65" s="273">
        <f>U65-'[2]4'!$N$67</f>
        <v>-17</v>
      </c>
      <c r="U65" s="271">
        <f t="shared" si="21"/>
        <v>21</v>
      </c>
      <c r="V65" s="281">
        <v>7</v>
      </c>
      <c r="W65" s="275">
        <f t="shared" si="22"/>
        <v>7</v>
      </c>
      <c r="X65" s="274">
        <v>14</v>
      </c>
      <c r="Y65" s="274"/>
      <c r="Z65" s="274"/>
      <c r="AA65" s="271">
        <f t="shared" si="23"/>
        <v>2</v>
      </c>
      <c r="AB65" s="274">
        <v>1</v>
      </c>
      <c r="AC65" s="275">
        <f t="shared" si="24"/>
        <v>0.5</v>
      </c>
      <c r="AD65" s="271">
        <f t="shared" si="14"/>
        <v>1</v>
      </c>
      <c r="AE65" s="274">
        <v>1</v>
      </c>
      <c r="AF65" s="274">
        <v>0</v>
      </c>
    </row>
    <row r="66" spans="1:33" s="56" customFormat="1" ht="15.75">
      <c r="A66" s="67">
        <v>54</v>
      </c>
      <c r="B66" s="268" t="s">
        <v>406</v>
      </c>
      <c r="C66" s="152">
        <f t="shared" si="18"/>
        <v>3951</v>
      </c>
      <c r="D66" s="9"/>
      <c r="E66" s="269">
        <f t="shared" si="15"/>
        <v>1975.5</v>
      </c>
      <c r="F66" s="9">
        <v>3951</v>
      </c>
      <c r="G66" s="152">
        <f t="shared" si="16"/>
        <v>235</v>
      </c>
      <c r="H66" s="9"/>
      <c r="I66" s="269">
        <f t="shared" si="17"/>
        <v>117.5</v>
      </c>
      <c r="J66" s="9">
        <v>235</v>
      </c>
      <c r="K66" s="270">
        <f>M66/'[2]4'!$J$68</f>
        <v>0.4057971014492754</v>
      </c>
      <c r="L66" s="9">
        <f>M66-'[2]4'!$J$68</f>
        <v>-41</v>
      </c>
      <c r="M66" s="152">
        <f t="shared" si="25"/>
        <v>28</v>
      </c>
      <c r="N66" s="9">
        <v>9</v>
      </c>
      <c r="O66" s="269">
        <f t="shared" si="19"/>
        <v>9.5</v>
      </c>
      <c r="P66" s="9">
        <v>19</v>
      </c>
      <c r="Q66" s="9">
        <f>1+18</f>
        <v>19</v>
      </c>
      <c r="R66" s="271">
        <f t="shared" si="20"/>
        <v>31</v>
      </c>
      <c r="S66" s="272">
        <f>U66/'[2]4'!$N$68</f>
        <v>0.6666666666666666</v>
      </c>
      <c r="T66" s="273">
        <f>U66-'[2]4'!$N$68</f>
        <v>-13</v>
      </c>
      <c r="U66" s="271">
        <f t="shared" si="21"/>
        <v>26</v>
      </c>
      <c r="V66" s="281">
        <v>9</v>
      </c>
      <c r="W66" s="275">
        <f t="shared" si="22"/>
        <v>8.5</v>
      </c>
      <c r="X66" s="274">
        <v>17</v>
      </c>
      <c r="Y66" s="274"/>
      <c r="Z66" s="274"/>
      <c r="AA66" s="271">
        <f t="shared" si="23"/>
        <v>5</v>
      </c>
      <c r="AB66" s="281">
        <v>2</v>
      </c>
      <c r="AC66" s="275">
        <f t="shared" si="24"/>
        <v>1.5</v>
      </c>
      <c r="AD66" s="277">
        <v>3</v>
      </c>
      <c r="AE66" s="278"/>
      <c r="AF66" s="278"/>
      <c r="AG66" s="56" t="s">
        <v>598</v>
      </c>
    </row>
    <row r="67" spans="1:32" s="56" customFormat="1" ht="15.75">
      <c r="A67" s="67">
        <v>55</v>
      </c>
      <c r="B67" s="268" t="s">
        <v>547</v>
      </c>
      <c r="C67" s="279">
        <f t="shared" si="18"/>
        <v>19704</v>
      </c>
      <c r="D67" s="9">
        <v>6500</v>
      </c>
      <c r="E67" s="269">
        <f t="shared" si="15"/>
        <v>6602</v>
      </c>
      <c r="F67" s="285">
        <v>13204</v>
      </c>
      <c r="G67" s="152">
        <f t="shared" si="16"/>
        <v>204</v>
      </c>
      <c r="H67" s="9">
        <v>65</v>
      </c>
      <c r="I67" s="269">
        <f t="shared" si="17"/>
        <v>69.5</v>
      </c>
      <c r="J67" s="9">
        <v>139</v>
      </c>
      <c r="K67" s="270">
        <f>M67/'[2]4'!$J$69</f>
        <v>0.7142857142857143</v>
      </c>
      <c r="L67" s="9">
        <f>M67-'[2]4'!$J$69</f>
        <v>-24</v>
      </c>
      <c r="M67" s="152">
        <f t="shared" si="25"/>
        <v>60</v>
      </c>
      <c r="N67" s="9">
        <v>20</v>
      </c>
      <c r="O67" s="269">
        <f t="shared" si="19"/>
        <v>20</v>
      </c>
      <c r="P67" s="9">
        <v>40</v>
      </c>
      <c r="Q67" s="9">
        <f>4+36</f>
        <v>40</v>
      </c>
      <c r="R67" s="271">
        <f t="shared" si="20"/>
        <v>46</v>
      </c>
      <c r="S67" s="272">
        <f>U67/'[2]4'!$N$69</f>
        <v>0.4</v>
      </c>
      <c r="T67" s="273">
        <f>U67-'[2]4'!$N$69</f>
        <v>-66</v>
      </c>
      <c r="U67" s="271">
        <f t="shared" si="21"/>
        <v>44</v>
      </c>
      <c r="V67" s="274">
        <v>15</v>
      </c>
      <c r="W67" s="275">
        <f t="shared" si="22"/>
        <v>14.5</v>
      </c>
      <c r="X67" s="274">
        <v>29</v>
      </c>
      <c r="Y67" s="274"/>
      <c r="Z67" s="274"/>
      <c r="AA67" s="271">
        <f t="shared" si="23"/>
        <v>2</v>
      </c>
      <c r="AB67" s="274">
        <v>1</v>
      </c>
      <c r="AC67" s="275">
        <f t="shared" si="24"/>
        <v>0.5</v>
      </c>
      <c r="AD67" s="271">
        <f aca="true" t="shared" si="26" ref="AD67:AD75">AE67+AF67</f>
        <v>1</v>
      </c>
      <c r="AE67" s="274">
        <v>0</v>
      </c>
      <c r="AF67" s="274">
        <v>1</v>
      </c>
    </row>
    <row r="68" spans="1:32" s="56" customFormat="1" ht="15.75">
      <c r="A68" s="67">
        <v>56</v>
      </c>
      <c r="B68" s="268" t="s">
        <v>408</v>
      </c>
      <c r="C68" s="152">
        <f t="shared" si="18"/>
        <v>8012</v>
      </c>
      <c r="D68" s="9">
        <v>2671</v>
      </c>
      <c r="E68" s="269">
        <f t="shared" si="15"/>
        <v>2670.5</v>
      </c>
      <c r="F68" s="9">
        <v>5341</v>
      </c>
      <c r="G68" s="152">
        <f t="shared" si="16"/>
        <v>39</v>
      </c>
      <c r="H68" s="9">
        <v>13</v>
      </c>
      <c r="I68" s="269">
        <f t="shared" si="17"/>
        <v>13</v>
      </c>
      <c r="J68" s="9">
        <v>26</v>
      </c>
      <c r="K68" s="270">
        <f>M68/'[2]4'!$J$70</f>
        <v>0.7263157894736842</v>
      </c>
      <c r="L68" s="9">
        <f>M68-'[2]4'!$J$70</f>
        <v>-104</v>
      </c>
      <c r="M68" s="152">
        <f t="shared" si="25"/>
        <v>276</v>
      </c>
      <c r="N68" s="9">
        <v>92</v>
      </c>
      <c r="O68" s="269">
        <f t="shared" si="19"/>
        <v>92</v>
      </c>
      <c r="P68" s="9">
        <v>184</v>
      </c>
      <c r="Q68" s="9">
        <f>37+147</f>
        <v>184</v>
      </c>
      <c r="R68" s="271">
        <f t="shared" si="20"/>
        <v>14</v>
      </c>
      <c r="S68" s="272">
        <f>U68/'[2]4'!$N$70</f>
        <v>1.0769230769230769</v>
      </c>
      <c r="T68" s="273">
        <f>U68-'[2]4'!$N$70</f>
        <v>1</v>
      </c>
      <c r="U68" s="271">
        <f t="shared" si="21"/>
        <v>14</v>
      </c>
      <c r="V68" s="274">
        <v>5</v>
      </c>
      <c r="W68" s="275">
        <f t="shared" si="22"/>
        <v>4.5</v>
      </c>
      <c r="X68" s="274">
        <v>9</v>
      </c>
      <c r="Y68" s="274"/>
      <c r="Z68" s="274"/>
      <c r="AA68" s="271">
        <f t="shared" si="23"/>
        <v>0</v>
      </c>
      <c r="AB68" s="274">
        <v>0</v>
      </c>
      <c r="AC68" s="275">
        <f t="shared" si="24"/>
        <v>0</v>
      </c>
      <c r="AD68" s="271">
        <f t="shared" si="26"/>
        <v>0</v>
      </c>
      <c r="AE68" s="274">
        <v>0</v>
      </c>
      <c r="AF68" s="274">
        <v>0</v>
      </c>
    </row>
    <row r="69" spans="1:32" s="56" customFormat="1" ht="15.75">
      <c r="A69" s="67">
        <v>57</v>
      </c>
      <c r="B69" s="268" t="s">
        <v>409</v>
      </c>
      <c r="C69" s="152">
        <f t="shared" si="18"/>
        <v>9018</v>
      </c>
      <c r="D69" s="9">
        <v>3006</v>
      </c>
      <c r="E69" s="269">
        <f t="shared" si="15"/>
        <v>3006</v>
      </c>
      <c r="F69" s="9">
        <v>6012</v>
      </c>
      <c r="G69" s="152">
        <f t="shared" si="16"/>
        <v>9</v>
      </c>
      <c r="H69" s="9">
        <v>3</v>
      </c>
      <c r="I69" s="269">
        <f t="shared" si="17"/>
        <v>3</v>
      </c>
      <c r="J69" s="9">
        <v>6</v>
      </c>
      <c r="K69" s="270">
        <f>M69/'[2]4'!$J$71</f>
        <v>0.5347593582887701</v>
      </c>
      <c r="L69" s="9">
        <f>M69-'[2]4'!$J$71</f>
        <v>-174</v>
      </c>
      <c r="M69" s="152">
        <f t="shared" si="25"/>
        <v>200</v>
      </c>
      <c r="N69" s="9">
        <v>67</v>
      </c>
      <c r="O69" s="269">
        <f t="shared" si="19"/>
        <v>66.5</v>
      </c>
      <c r="P69" s="9">
        <v>133</v>
      </c>
      <c r="Q69" s="9">
        <f>21+112</f>
        <v>133</v>
      </c>
      <c r="R69" s="271">
        <f t="shared" si="20"/>
        <v>23</v>
      </c>
      <c r="S69" s="272">
        <f>U69/'[2]4'!$N$71</f>
        <v>0.5348837209302325</v>
      </c>
      <c r="T69" s="273">
        <f>U69-'[2]4'!$N$71</f>
        <v>-20</v>
      </c>
      <c r="U69" s="271">
        <f t="shared" si="21"/>
        <v>23</v>
      </c>
      <c r="V69" s="274">
        <v>8</v>
      </c>
      <c r="W69" s="275">
        <f t="shared" si="22"/>
        <v>7.5</v>
      </c>
      <c r="X69" s="274">
        <v>15</v>
      </c>
      <c r="Y69" s="274"/>
      <c r="Z69" s="274"/>
      <c r="AA69" s="271">
        <f t="shared" si="23"/>
        <v>0</v>
      </c>
      <c r="AB69" s="274">
        <v>0</v>
      </c>
      <c r="AC69" s="275">
        <f t="shared" si="24"/>
        <v>0</v>
      </c>
      <c r="AD69" s="271">
        <f t="shared" si="26"/>
        <v>0</v>
      </c>
      <c r="AE69" s="274">
        <v>0</v>
      </c>
      <c r="AF69" s="274">
        <v>0</v>
      </c>
    </row>
    <row r="70" spans="1:32" s="56" customFormat="1" ht="15.75">
      <c r="A70" s="67">
        <v>58</v>
      </c>
      <c r="B70" s="268" t="s">
        <v>548</v>
      </c>
      <c r="C70" s="279">
        <f t="shared" si="18"/>
        <v>24168</v>
      </c>
      <c r="D70" s="9">
        <v>8056</v>
      </c>
      <c r="E70" s="269">
        <f t="shared" si="15"/>
        <v>8056</v>
      </c>
      <c r="F70" s="285">
        <v>16112</v>
      </c>
      <c r="G70" s="152">
        <f t="shared" si="16"/>
        <v>51</v>
      </c>
      <c r="H70" s="9">
        <v>17</v>
      </c>
      <c r="I70" s="269">
        <f t="shared" si="17"/>
        <v>17</v>
      </c>
      <c r="J70" s="9">
        <v>34</v>
      </c>
      <c r="K70" s="270">
        <f>M70/'[2]4'!$J$72</f>
        <v>0.42184154175588867</v>
      </c>
      <c r="L70" s="9">
        <f>M70-'[2]4'!$J$72</f>
        <v>-1890</v>
      </c>
      <c r="M70" s="152">
        <f t="shared" si="25"/>
        <v>1379</v>
      </c>
      <c r="N70" s="9">
        <v>460</v>
      </c>
      <c r="O70" s="269">
        <f t="shared" si="19"/>
        <v>459.5</v>
      </c>
      <c r="P70" s="9">
        <v>919</v>
      </c>
      <c r="Q70" s="9">
        <f>177+741</f>
        <v>918</v>
      </c>
      <c r="R70" s="271">
        <f t="shared" si="20"/>
        <v>228</v>
      </c>
      <c r="S70" s="272">
        <f>U70/'[2]4'!$N$72</f>
        <v>0.49823321554770317</v>
      </c>
      <c r="T70" s="273">
        <f>U70-'[2]4'!$N$72</f>
        <v>-142</v>
      </c>
      <c r="U70" s="271">
        <f t="shared" si="21"/>
        <v>141</v>
      </c>
      <c r="V70" s="274">
        <v>47</v>
      </c>
      <c r="W70" s="275">
        <f t="shared" si="22"/>
        <v>47</v>
      </c>
      <c r="X70" s="274">
        <v>94</v>
      </c>
      <c r="Y70" s="274"/>
      <c r="Z70" s="274"/>
      <c r="AA70" s="271">
        <f t="shared" si="23"/>
        <v>87</v>
      </c>
      <c r="AB70" s="274">
        <v>29</v>
      </c>
      <c r="AC70" s="275">
        <f t="shared" si="24"/>
        <v>29</v>
      </c>
      <c r="AD70" s="271">
        <f t="shared" si="26"/>
        <v>58</v>
      </c>
      <c r="AE70" s="274">
        <v>12</v>
      </c>
      <c r="AF70" s="274">
        <v>46</v>
      </c>
    </row>
    <row r="71" spans="1:32" s="56" customFormat="1" ht="15.75">
      <c r="A71" s="67">
        <v>59</v>
      </c>
      <c r="B71" s="268" t="s">
        <v>411</v>
      </c>
      <c r="C71" s="152">
        <f t="shared" si="18"/>
        <v>7149</v>
      </c>
      <c r="D71" s="9">
        <v>2383</v>
      </c>
      <c r="E71" s="269">
        <f t="shared" si="15"/>
        <v>2383</v>
      </c>
      <c r="F71" s="9">
        <v>4766</v>
      </c>
      <c r="G71" s="152">
        <f t="shared" si="16"/>
        <v>284</v>
      </c>
      <c r="H71" s="9">
        <v>95</v>
      </c>
      <c r="I71" s="269">
        <f t="shared" si="17"/>
        <v>94.5</v>
      </c>
      <c r="J71" s="9">
        <v>189</v>
      </c>
      <c r="K71" s="270">
        <f>M71/'[2]4'!$J$73</f>
        <v>0.5668016194331984</v>
      </c>
      <c r="L71" s="9">
        <f>M71-'[2]4'!$J$73</f>
        <v>-107</v>
      </c>
      <c r="M71" s="152">
        <f t="shared" si="25"/>
        <v>140</v>
      </c>
      <c r="N71" s="9">
        <v>47</v>
      </c>
      <c r="O71" s="269">
        <f t="shared" si="19"/>
        <v>46.5</v>
      </c>
      <c r="P71" s="9">
        <v>93</v>
      </c>
      <c r="Q71" s="9">
        <f>17+76</f>
        <v>93</v>
      </c>
      <c r="R71" s="271">
        <f t="shared" si="20"/>
        <v>27</v>
      </c>
      <c r="S71" s="272">
        <f>U71/'[2]4'!$N$73</f>
        <v>0.7941176470588235</v>
      </c>
      <c r="T71" s="273">
        <f>U71-'[2]4'!$N$73</f>
        <v>-7</v>
      </c>
      <c r="U71" s="271">
        <f t="shared" si="21"/>
        <v>27</v>
      </c>
      <c r="V71" s="274">
        <v>9</v>
      </c>
      <c r="W71" s="275">
        <f t="shared" si="22"/>
        <v>9</v>
      </c>
      <c r="X71" s="274">
        <v>18</v>
      </c>
      <c r="Y71" s="274"/>
      <c r="Z71" s="274"/>
      <c r="AA71" s="271">
        <f t="shared" si="23"/>
        <v>0</v>
      </c>
      <c r="AB71" s="274">
        <v>0</v>
      </c>
      <c r="AC71" s="275">
        <f t="shared" si="24"/>
        <v>0</v>
      </c>
      <c r="AD71" s="271">
        <f t="shared" si="26"/>
        <v>0</v>
      </c>
      <c r="AE71" s="274">
        <v>0</v>
      </c>
      <c r="AF71" s="274">
        <v>0</v>
      </c>
    </row>
    <row r="72" spans="1:32" s="56" customFormat="1" ht="15.75">
      <c r="A72" s="67">
        <v>60</v>
      </c>
      <c r="B72" s="268" t="s">
        <v>412</v>
      </c>
      <c r="C72" s="152">
        <f t="shared" si="18"/>
        <v>4135</v>
      </c>
      <c r="D72" s="9">
        <v>1378</v>
      </c>
      <c r="E72" s="269">
        <f t="shared" si="15"/>
        <v>1378.5</v>
      </c>
      <c r="F72" s="9">
        <v>2757</v>
      </c>
      <c r="G72" s="152">
        <f t="shared" si="16"/>
        <v>11</v>
      </c>
      <c r="H72" s="9">
        <v>4</v>
      </c>
      <c r="I72" s="269">
        <f t="shared" si="17"/>
        <v>3.5</v>
      </c>
      <c r="J72" s="9">
        <v>7</v>
      </c>
      <c r="K72" s="270">
        <f>M72/'[2]4'!$J$74</f>
        <v>0.6</v>
      </c>
      <c r="L72" s="9">
        <f>M72-'[2]4'!$J$74</f>
        <v>-10</v>
      </c>
      <c r="M72" s="152">
        <f t="shared" si="25"/>
        <v>15</v>
      </c>
      <c r="N72" s="9">
        <v>5</v>
      </c>
      <c r="O72" s="269">
        <f t="shared" si="19"/>
        <v>5</v>
      </c>
      <c r="P72" s="9">
        <v>10</v>
      </c>
      <c r="Q72" s="9">
        <f>1+9</f>
        <v>10</v>
      </c>
      <c r="R72" s="271">
        <f t="shared" si="20"/>
        <v>23</v>
      </c>
      <c r="S72" s="272">
        <f>U72/'[2]4'!$N$74</f>
        <v>0.3235294117647059</v>
      </c>
      <c r="T72" s="273">
        <f>U72-'[2]4'!$N$74</f>
        <v>-23</v>
      </c>
      <c r="U72" s="271">
        <f t="shared" si="21"/>
        <v>11</v>
      </c>
      <c r="V72" s="274">
        <v>4</v>
      </c>
      <c r="W72" s="275">
        <f t="shared" si="22"/>
        <v>3.5</v>
      </c>
      <c r="X72" s="274">
        <v>7</v>
      </c>
      <c r="Y72" s="274"/>
      <c r="Z72" s="274"/>
      <c r="AA72" s="271">
        <f t="shared" si="23"/>
        <v>12</v>
      </c>
      <c r="AB72" s="274">
        <v>4</v>
      </c>
      <c r="AC72" s="275">
        <f t="shared" si="24"/>
        <v>4</v>
      </c>
      <c r="AD72" s="271">
        <f t="shared" si="26"/>
        <v>8</v>
      </c>
      <c r="AE72" s="274">
        <v>0</v>
      </c>
      <c r="AF72" s="274">
        <v>8</v>
      </c>
    </row>
    <row r="73" spans="1:33" s="56" customFormat="1" ht="15.75">
      <c r="A73" s="67">
        <v>61</v>
      </c>
      <c r="B73" s="268" t="s">
        <v>413</v>
      </c>
      <c r="C73" s="152">
        <f t="shared" si="18"/>
        <v>2146</v>
      </c>
      <c r="D73" s="9"/>
      <c r="E73" s="269">
        <f t="shared" si="15"/>
        <v>1073</v>
      </c>
      <c r="F73" s="9">
        <v>2146</v>
      </c>
      <c r="G73" s="152">
        <f t="shared" si="16"/>
        <v>1</v>
      </c>
      <c r="H73" s="9"/>
      <c r="I73" s="269">
        <f t="shared" si="17"/>
        <v>0.5</v>
      </c>
      <c r="J73" s="9">
        <v>1</v>
      </c>
      <c r="K73" s="270">
        <f>M73/'[2]4'!$J$75</f>
        <v>0.5284552845528455</v>
      </c>
      <c r="L73" s="9">
        <f>M73-'[2]4'!$J$75</f>
        <v>-174</v>
      </c>
      <c r="M73" s="152">
        <f t="shared" si="25"/>
        <v>195</v>
      </c>
      <c r="N73" s="9">
        <v>65</v>
      </c>
      <c r="O73" s="269">
        <f t="shared" si="19"/>
        <v>65</v>
      </c>
      <c r="P73" s="9">
        <v>130</v>
      </c>
      <c r="Q73" s="9">
        <f>8+122</f>
        <v>130</v>
      </c>
      <c r="R73" s="271">
        <f t="shared" si="20"/>
        <v>24</v>
      </c>
      <c r="S73" s="272">
        <f>U73/'[2]4'!$N$75</f>
        <v>0.875</v>
      </c>
      <c r="T73" s="273">
        <f>U73-'[2]4'!$N$75</f>
        <v>-3</v>
      </c>
      <c r="U73" s="271">
        <f t="shared" si="21"/>
        <v>21</v>
      </c>
      <c r="V73" s="281">
        <v>7</v>
      </c>
      <c r="W73" s="275">
        <f t="shared" si="22"/>
        <v>7</v>
      </c>
      <c r="X73" s="274">
        <v>14</v>
      </c>
      <c r="Y73" s="274"/>
      <c r="Z73" s="274"/>
      <c r="AA73" s="271">
        <f t="shared" si="23"/>
        <v>3</v>
      </c>
      <c r="AB73" s="274">
        <v>2</v>
      </c>
      <c r="AC73" s="275">
        <f t="shared" si="24"/>
        <v>0.5</v>
      </c>
      <c r="AD73" s="271">
        <f t="shared" si="26"/>
        <v>1</v>
      </c>
      <c r="AE73" s="274">
        <v>1</v>
      </c>
      <c r="AF73" s="274"/>
      <c r="AG73" s="56" t="s">
        <v>605</v>
      </c>
    </row>
    <row r="74" spans="1:32" s="56" customFormat="1" ht="15.75">
      <c r="A74" s="67">
        <v>62</v>
      </c>
      <c r="B74" s="268" t="s">
        <v>414</v>
      </c>
      <c r="C74" s="152">
        <f t="shared" si="18"/>
        <v>5113</v>
      </c>
      <c r="D74" s="9">
        <v>1704</v>
      </c>
      <c r="E74" s="269">
        <f t="shared" si="15"/>
        <v>1704.5</v>
      </c>
      <c r="F74" s="9">
        <v>3409</v>
      </c>
      <c r="G74" s="152">
        <f t="shared" si="16"/>
        <v>51</v>
      </c>
      <c r="H74" s="9">
        <v>17</v>
      </c>
      <c r="I74" s="269">
        <f t="shared" si="17"/>
        <v>17</v>
      </c>
      <c r="J74" s="9">
        <v>34</v>
      </c>
      <c r="K74" s="270">
        <f>M74/'[2]4'!$J$76</f>
        <v>0.5405405405405406</v>
      </c>
      <c r="L74" s="9">
        <f>M74-'[2]4'!$J$76</f>
        <v>-17</v>
      </c>
      <c r="M74" s="152">
        <f t="shared" si="25"/>
        <v>20</v>
      </c>
      <c r="N74" s="9">
        <v>7</v>
      </c>
      <c r="O74" s="269">
        <f t="shared" si="19"/>
        <v>6.5</v>
      </c>
      <c r="P74" s="9">
        <v>13</v>
      </c>
      <c r="Q74" s="9">
        <v>13</v>
      </c>
      <c r="R74" s="271">
        <f t="shared" si="20"/>
        <v>20</v>
      </c>
      <c r="S74" s="272">
        <f>U74/'[2]4'!$N$76</f>
        <v>0.5555555555555556</v>
      </c>
      <c r="T74" s="273">
        <f>U74-'[2]4'!$N$76</f>
        <v>-16</v>
      </c>
      <c r="U74" s="271">
        <f t="shared" si="21"/>
        <v>20</v>
      </c>
      <c r="V74" s="274">
        <v>7</v>
      </c>
      <c r="W74" s="275">
        <f t="shared" si="22"/>
        <v>6.5</v>
      </c>
      <c r="X74" s="274">
        <v>13</v>
      </c>
      <c r="Y74" s="274"/>
      <c r="Z74" s="274"/>
      <c r="AA74" s="271">
        <f t="shared" si="23"/>
        <v>0</v>
      </c>
      <c r="AB74" s="274">
        <v>0</v>
      </c>
      <c r="AC74" s="275">
        <f t="shared" si="24"/>
        <v>0</v>
      </c>
      <c r="AD74" s="271">
        <f t="shared" si="26"/>
        <v>0</v>
      </c>
      <c r="AE74" s="274">
        <v>0</v>
      </c>
      <c r="AF74" s="274">
        <v>0</v>
      </c>
    </row>
    <row r="75" spans="1:32" s="56" customFormat="1" ht="15.75">
      <c r="A75" s="67">
        <v>63</v>
      </c>
      <c r="B75" s="268" t="s">
        <v>415</v>
      </c>
      <c r="C75" s="152">
        <f t="shared" si="18"/>
        <v>4023</v>
      </c>
      <c r="D75" s="9">
        <v>1000</v>
      </c>
      <c r="E75" s="269">
        <f t="shared" si="15"/>
        <v>1511.5</v>
      </c>
      <c r="F75" s="9">
        <v>3023</v>
      </c>
      <c r="G75" s="152">
        <f t="shared" si="16"/>
        <v>17</v>
      </c>
      <c r="H75" s="9">
        <v>5</v>
      </c>
      <c r="I75" s="269">
        <f t="shared" si="17"/>
        <v>6</v>
      </c>
      <c r="J75" s="9">
        <v>12</v>
      </c>
      <c r="K75" s="270">
        <f>M75/'[2]4'!$J$77</f>
        <v>0.5</v>
      </c>
      <c r="L75" s="9">
        <f>M75-'[2]4'!$J$77</f>
        <v>-7</v>
      </c>
      <c r="M75" s="152">
        <f t="shared" si="25"/>
        <v>7</v>
      </c>
      <c r="N75" s="9">
        <v>2</v>
      </c>
      <c r="O75" s="269">
        <f t="shared" si="19"/>
        <v>2.5</v>
      </c>
      <c r="P75" s="9">
        <v>5</v>
      </c>
      <c r="Q75" s="9">
        <f>1+4</f>
        <v>5</v>
      </c>
      <c r="R75" s="271">
        <f t="shared" si="20"/>
        <v>21</v>
      </c>
      <c r="S75" s="272">
        <f>U75/'[2]4'!$N$77</f>
        <v>0.4666666666666667</v>
      </c>
      <c r="T75" s="273">
        <f>U75-'[2]4'!$N$77</f>
        <v>-24</v>
      </c>
      <c r="U75" s="271">
        <f t="shared" si="21"/>
        <v>21</v>
      </c>
      <c r="V75" s="274">
        <v>7</v>
      </c>
      <c r="W75" s="275">
        <f t="shared" si="22"/>
        <v>7</v>
      </c>
      <c r="X75" s="274">
        <v>14</v>
      </c>
      <c r="Y75" s="274"/>
      <c r="Z75" s="274"/>
      <c r="AA75" s="271">
        <f t="shared" si="23"/>
        <v>0</v>
      </c>
      <c r="AB75" s="274">
        <v>0</v>
      </c>
      <c r="AC75" s="275">
        <f t="shared" si="24"/>
        <v>0</v>
      </c>
      <c r="AD75" s="271">
        <f t="shared" si="26"/>
        <v>0</v>
      </c>
      <c r="AE75" s="274">
        <v>0</v>
      </c>
      <c r="AF75" s="274">
        <v>0</v>
      </c>
    </row>
    <row r="77" spans="1:8" s="89" customFormat="1" ht="18" customHeight="1">
      <c r="A77" s="50"/>
      <c r="B77" s="50" t="s">
        <v>342</v>
      </c>
      <c r="C77" s="56" t="s">
        <v>505</v>
      </c>
      <c r="D77" s="50"/>
      <c r="E77" s="50"/>
      <c r="F77" s="50"/>
      <c r="G77" s="88"/>
      <c r="H77" s="88"/>
    </row>
    <row r="78" spans="1:6" s="87" customFormat="1" ht="18" customHeight="1">
      <c r="A78" s="50"/>
      <c r="B78" s="50" t="s">
        <v>343</v>
      </c>
      <c r="C78" s="50" t="s">
        <v>344</v>
      </c>
      <c r="D78" s="50"/>
      <c r="E78" s="50"/>
      <c r="F78" s="50"/>
    </row>
    <row r="79" spans="1:6" s="87" customFormat="1" ht="18" customHeight="1">
      <c r="A79" s="50"/>
      <c r="B79" s="50" t="s">
        <v>345</v>
      </c>
      <c r="C79" s="50" t="s">
        <v>346</v>
      </c>
      <c r="D79" s="50"/>
      <c r="E79" s="50"/>
      <c r="F79" s="50"/>
    </row>
    <row r="80" spans="1:16" s="22" customFormat="1" ht="15.75">
      <c r="A80"/>
      <c r="B80" s="142"/>
      <c r="C80" s="120" t="s">
        <v>493</v>
      </c>
      <c r="D80"/>
      <c r="E80"/>
      <c r="F80"/>
      <c r="G80"/>
      <c r="H80"/>
      <c r="I80"/>
      <c r="J80"/>
      <c r="K80"/>
      <c r="L80"/>
      <c r="M80"/>
      <c r="N80"/>
      <c r="O80"/>
      <c r="P80" s="13"/>
    </row>
    <row r="81" spans="1:16" s="22" customFormat="1" ht="15.75">
      <c r="A81"/>
      <c r="B81" s="90"/>
      <c r="C81" s="50" t="s">
        <v>430</v>
      </c>
      <c r="D81"/>
      <c r="E81"/>
      <c r="F81"/>
      <c r="G81"/>
      <c r="H81"/>
      <c r="I81"/>
      <c r="J81"/>
      <c r="K81"/>
      <c r="L81"/>
      <c r="M81"/>
      <c r="N81"/>
      <c r="O81"/>
      <c r="P81" s="13"/>
    </row>
    <row r="82" spans="1:16" s="22" customFormat="1" ht="15.75">
      <c r="A82"/>
      <c r="B82" s="91"/>
      <c r="C82" s="50" t="s">
        <v>429</v>
      </c>
      <c r="D82"/>
      <c r="E82"/>
      <c r="F82"/>
      <c r="G82"/>
      <c r="H82"/>
      <c r="I82"/>
      <c r="J82"/>
      <c r="K82"/>
      <c r="L82"/>
      <c r="M82"/>
      <c r="N82"/>
      <c r="O82"/>
      <c r="P82" s="13"/>
    </row>
    <row r="83" spans="1:16" s="38" customFormat="1" ht="15.75">
      <c r="A83"/>
      <c r="B83" s="143"/>
      <c r="C83" s="86" t="s">
        <v>495</v>
      </c>
      <c r="D83"/>
      <c r="E83"/>
      <c r="F83"/>
      <c r="G83"/>
      <c r="H83"/>
      <c r="I83"/>
      <c r="J83"/>
      <c r="K83"/>
      <c r="L83"/>
      <c r="M83"/>
      <c r="N83"/>
      <c r="O83"/>
      <c r="P83" s="13"/>
    </row>
    <row r="84" spans="1:20" s="17" customFormat="1" ht="15.75">
      <c r="A84" s="24"/>
      <c r="B84" s="25"/>
      <c r="C84" s="392"/>
      <c r="D84" s="392"/>
      <c r="E84" s="392"/>
      <c r="F84" s="392"/>
      <c r="G84" s="392"/>
      <c r="H84" s="392"/>
      <c r="I84" s="392"/>
      <c r="J84" s="392"/>
      <c r="K84" s="392"/>
      <c r="L84" s="392"/>
      <c r="M84" s="392"/>
      <c r="N84" s="392"/>
      <c r="O84" s="254"/>
      <c r="P84" s="254"/>
      <c r="Q84" s="254"/>
      <c r="R84" s="254"/>
      <c r="S84" s="254"/>
      <c r="T84" s="254"/>
    </row>
    <row r="86" ht="12" customHeight="1"/>
  </sheetData>
  <sheetProtection/>
  <mergeCells count="48">
    <mergeCell ref="S9:S10"/>
    <mergeCell ref="T9:T10"/>
    <mergeCell ref="P9:P10"/>
    <mergeCell ref="Y8:Z8"/>
    <mergeCell ref="Y9:Y10"/>
    <mergeCell ref="Z9:Z10"/>
    <mergeCell ref="Q9:Q10"/>
    <mergeCell ref="V9:V10"/>
    <mergeCell ref="M7:Q7"/>
    <mergeCell ref="R7:R10"/>
    <mergeCell ref="U7:X7"/>
    <mergeCell ref="E9:E10"/>
    <mergeCell ref="I9:I10"/>
    <mergeCell ref="W9:W10"/>
    <mergeCell ref="U8:U10"/>
    <mergeCell ref="K8:L8"/>
    <mergeCell ref="K9:K10"/>
    <mergeCell ref="L9:L10"/>
    <mergeCell ref="A2:AF2"/>
    <mergeCell ref="A3:AF3"/>
    <mergeCell ref="A4:AF4"/>
    <mergeCell ref="A6:B10"/>
    <mergeCell ref="C6:Q6"/>
    <mergeCell ref="R6:AF6"/>
    <mergeCell ref="J9:J10"/>
    <mergeCell ref="AC8:AC10"/>
    <mergeCell ref="O8:O10"/>
    <mergeCell ref="C7:J7"/>
    <mergeCell ref="AA7:AF7"/>
    <mergeCell ref="C8:F8"/>
    <mergeCell ref="G8:J8"/>
    <mergeCell ref="M8:M10"/>
    <mergeCell ref="N8:N10"/>
    <mergeCell ref="P8:Q8"/>
    <mergeCell ref="X9:X10"/>
    <mergeCell ref="V8:X8"/>
    <mergeCell ref="AD9:AD10"/>
    <mergeCell ref="AA8:AA10"/>
    <mergeCell ref="AE9:AF9"/>
    <mergeCell ref="A12:B12"/>
    <mergeCell ref="AD8:AF8"/>
    <mergeCell ref="C9:C10"/>
    <mergeCell ref="D9:D10"/>
    <mergeCell ref="F9:F10"/>
    <mergeCell ref="G9:G10"/>
    <mergeCell ref="H9:H10"/>
    <mergeCell ref="AB8:AB10"/>
    <mergeCell ref="S8:T8"/>
  </mergeCells>
  <printOptions/>
  <pageMargins left="0.328125" right="0.2" top="1" bottom="0.5" header="0" footer="0"/>
  <pageSetup horizontalDpi="600" verticalDpi="600" orientation="landscape" paperSize="9" scale="75" r:id="rId2"/>
  <drawing r:id="rId1"/>
</worksheet>
</file>

<file path=xl/worksheets/sheet11.xml><?xml version="1.0" encoding="utf-8"?>
<worksheet xmlns="http://schemas.openxmlformats.org/spreadsheetml/2006/main" xmlns:r="http://schemas.openxmlformats.org/officeDocument/2006/relationships">
  <sheetPr>
    <tabColor theme="9" tint="-0.24997000396251678"/>
  </sheetPr>
  <dimension ref="A1:AG86"/>
  <sheetViews>
    <sheetView zoomScalePageLayoutView="0" workbookViewId="0" topLeftCell="A1">
      <pane ySplit="7140" topLeftCell="A16" activePane="bottomLeft" state="split"/>
      <selection pane="topLeft" activeCell="A1" sqref="A1"/>
      <selection pane="bottomLeft" activeCell="J51" sqref="J51"/>
    </sheetView>
  </sheetViews>
  <sheetFormatPr defaultColWidth="9.140625" defaultRowHeight="12.75"/>
  <cols>
    <col min="1" max="1" width="3.8515625" style="0" customWidth="1"/>
    <col min="2" max="2" width="13.421875" style="0" customWidth="1"/>
    <col min="3" max="4" width="10.421875" style="0" customWidth="1"/>
    <col min="5" max="5" width="10.421875" style="0" hidden="1" customWidth="1"/>
    <col min="6" max="6" width="10.421875" style="0" customWidth="1"/>
    <col min="7" max="7" width="6.7109375" style="255" hidden="1" customWidth="1"/>
    <col min="8" max="9" width="13.140625" style="0" hidden="1" customWidth="1"/>
    <col min="10" max="11" width="10.421875" style="0" customWidth="1"/>
    <col min="12" max="12" width="10.421875" style="0" hidden="1" customWidth="1"/>
    <col min="13" max="13" width="7.28125" style="255" hidden="1" customWidth="1"/>
    <col min="14" max="14" width="10.8515625" style="319" hidden="1" customWidth="1"/>
    <col min="15" max="15" width="11.57421875" style="247" hidden="1" customWidth="1"/>
    <col min="16" max="16" width="10.421875" style="13" customWidth="1"/>
    <col min="17" max="17" width="13.57421875" style="13" customWidth="1"/>
    <col min="18" max="18" width="11.7109375" style="13" customWidth="1"/>
    <col min="19" max="19" width="11.7109375" style="13" hidden="1" customWidth="1"/>
    <col min="20" max="20" width="12.140625" style="13" customWidth="1"/>
    <col min="21" max="21" width="12.140625" style="255" hidden="1" customWidth="1"/>
    <col min="22" max="22" width="13.140625" style="13" hidden="1" customWidth="1"/>
    <col min="23" max="24" width="12.140625" style="13" hidden="1" customWidth="1"/>
    <col min="25" max="25" width="12.00390625" style="13" customWidth="1"/>
    <col min="26" max="26" width="12.140625" style="254" customWidth="1"/>
  </cols>
  <sheetData>
    <row r="1" spans="1:26" ht="16.5">
      <c r="A1" s="215" t="s">
        <v>318</v>
      </c>
      <c r="B1" s="215"/>
      <c r="C1" s="215"/>
      <c r="D1" s="215"/>
      <c r="E1" s="215"/>
      <c r="F1" s="215"/>
      <c r="G1" s="288"/>
      <c r="H1" s="215"/>
      <c r="I1" s="215"/>
      <c r="J1" s="215"/>
      <c r="K1" s="215"/>
      <c r="L1" s="215"/>
      <c r="M1" s="288"/>
      <c r="N1" s="289"/>
      <c r="O1" s="215"/>
      <c r="P1" s="290"/>
      <c r="Q1" s="290"/>
      <c r="R1" s="290"/>
      <c r="S1" s="290"/>
      <c r="T1" s="290"/>
      <c r="U1" s="291"/>
      <c r="V1" s="290"/>
      <c r="W1" s="290"/>
      <c r="X1" s="290"/>
      <c r="Y1" s="290"/>
      <c r="Z1" s="204"/>
    </row>
    <row r="2" spans="1:26" ht="18.75">
      <c r="A2" s="920" t="s">
        <v>609</v>
      </c>
      <c r="B2" s="920"/>
      <c r="C2" s="920"/>
      <c r="D2" s="920"/>
      <c r="E2" s="920"/>
      <c r="F2" s="920"/>
      <c r="G2" s="920"/>
      <c r="H2" s="920"/>
      <c r="I2" s="920"/>
      <c r="J2" s="920"/>
      <c r="K2" s="920"/>
      <c r="L2" s="920"/>
      <c r="M2" s="920"/>
      <c r="N2" s="920"/>
      <c r="O2" s="920"/>
      <c r="P2" s="920"/>
      <c r="Q2" s="920"/>
      <c r="R2" s="920"/>
      <c r="S2" s="920"/>
      <c r="T2" s="920"/>
      <c r="U2" s="920"/>
      <c r="V2" s="920"/>
      <c r="W2" s="920"/>
      <c r="X2" s="920"/>
      <c r="Y2" s="920"/>
      <c r="Z2" s="920"/>
    </row>
    <row r="3" spans="1:26" ht="20.25" customHeight="1">
      <c r="A3" s="987" t="s">
        <v>610</v>
      </c>
      <c r="B3" s="987"/>
      <c r="C3" s="987"/>
      <c r="D3" s="987"/>
      <c r="E3" s="987"/>
      <c r="F3" s="987"/>
      <c r="G3" s="987"/>
      <c r="H3" s="987"/>
      <c r="I3" s="987"/>
      <c r="J3" s="987"/>
      <c r="K3" s="987"/>
      <c r="L3" s="987"/>
      <c r="M3" s="987"/>
      <c r="N3" s="987"/>
      <c r="O3" s="987"/>
      <c r="P3" s="987"/>
      <c r="Q3" s="987"/>
      <c r="R3" s="987"/>
      <c r="S3" s="987"/>
      <c r="T3" s="987"/>
      <c r="U3" s="987"/>
      <c r="V3" s="987"/>
      <c r="W3" s="987"/>
      <c r="X3" s="987"/>
      <c r="Y3" s="987"/>
      <c r="Z3" s="987"/>
    </row>
    <row r="4" spans="1:26" ht="20.25" customHeight="1">
      <c r="A4" s="920" t="s">
        <v>319</v>
      </c>
      <c r="B4" s="920"/>
      <c r="C4" s="920"/>
      <c r="D4" s="920"/>
      <c r="E4" s="920"/>
      <c r="F4" s="920"/>
      <c r="G4" s="920"/>
      <c r="H4" s="920"/>
      <c r="I4" s="920"/>
      <c r="J4" s="920"/>
      <c r="K4" s="920"/>
      <c r="L4" s="920"/>
      <c r="M4" s="920"/>
      <c r="N4" s="920"/>
      <c r="O4" s="920"/>
      <c r="P4" s="920"/>
      <c r="Q4" s="920"/>
      <c r="R4" s="920"/>
      <c r="S4" s="920"/>
      <c r="T4" s="920"/>
      <c r="U4" s="920"/>
      <c r="V4" s="920"/>
      <c r="W4" s="920"/>
      <c r="X4" s="920"/>
      <c r="Y4" s="920"/>
      <c r="Z4" s="920"/>
    </row>
    <row r="5" spans="1:26" ht="20.25" customHeight="1">
      <c r="A5" s="220"/>
      <c r="B5" s="220"/>
      <c r="C5" s="220"/>
      <c r="D5" s="220"/>
      <c r="E5" s="220"/>
      <c r="F5" s="220"/>
      <c r="G5" s="222"/>
      <c r="H5" s="220"/>
      <c r="I5" s="220"/>
      <c r="J5" s="220"/>
      <c r="K5" s="220"/>
      <c r="L5" s="220"/>
      <c r="M5" s="222"/>
      <c r="N5" s="292"/>
      <c r="O5" s="220"/>
      <c r="P5" s="293"/>
      <c r="Q5" s="293"/>
      <c r="R5" s="293"/>
      <c r="S5" s="293"/>
      <c r="T5" s="293"/>
      <c r="U5" s="294"/>
      <c r="V5" s="293"/>
      <c r="W5" s="293"/>
      <c r="X5" s="293"/>
      <c r="Y5" s="293"/>
      <c r="Z5" s="221"/>
    </row>
    <row r="6" spans="1:26" s="295" customFormat="1" ht="41.25" customHeight="1">
      <c r="A6" s="994"/>
      <c r="B6" s="994"/>
      <c r="C6" s="994" t="s">
        <v>626</v>
      </c>
      <c r="D6" s="994"/>
      <c r="E6" s="994"/>
      <c r="F6" s="994"/>
      <c r="G6" s="258"/>
      <c r="H6" s="158"/>
      <c r="I6" s="158"/>
      <c r="J6" s="994" t="s">
        <v>627</v>
      </c>
      <c r="K6" s="994"/>
      <c r="L6" s="994"/>
      <c r="M6" s="994"/>
      <c r="N6" s="994"/>
      <c r="O6" s="994"/>
      <c r="P6" s="994"/>
      <c r="Q6" s="994" t="s">
        <v>628</v>
      </c>
      <c r="R6" s="994"/>
      <c r="S6" s="994"/>
      <c r="T6" s="994"/>
      <c r="U6" s="994"/>
      <c r="V6" s="994"/>
      <c r="W6" s="994"/>
      <c r="X6" s="994"/>
      <c r="Y6" s="994"/>
      <c r="Z6" s="994"/>
    </row>
    <row r="7" spans="1:26" s="224" customFormat="1" ht="43.5" customHeight="1">
      <c r="A7" s="994"/>
      <c r="B7" s="994"/>
      <c r="C7" s="988" t="s">
        <v>511</v>
      </c>
      <c r="D7" s="993" t="s">
        <v>593</v>
      </c>
      <c r="E7" s="993"/>
      <c r="F7" s="993"/>
      <c r="G7" s="1007" t="s">
        <v>592</v>
      </c>
      <c r="H7" s="1008"/>
      <c r="I7" s="296"/>
      <c r="J7" s="988" t="s">
        <v>511</v>
      </c>
      <c r="K7" s="993" t="s">
        <v>593</v>
      </c>
      <c r="L7" s="993"/>
      <c r="M7" s="993"/>
      <c r="N7" s="993"/>
      <c r="O7" s="993"/>
      <c r="P7" s="993"/>
      <c r="Q7" s="988" t="s">
        <v>511</v>
      </c>
      <c r="R7" s="988" t="s">
        <v>512</v>
      </c>
      <c r="S7" s="260"/>
      <c r="T7" s="988" t="s">
        <v>576</v>
      </c>
      <c r="U7" s="988"/>
      <c r="V7" s="988"/>
      <c r="W7" s="988"/>
      <c r="X7" s="988"/>
      <c r="Y7" s="988"/>
      <c r="Z7" s="988"/>
    </row>
    <row r="8" spans="1:26" s="224" customFormat="1" ht="55.5" customHeight="1">
      <c r="A8" s="994"/>
      <c r="B8" s="994"/>
      <c r="C8" s="988"/>
      <c r="D8" s="988" t="s">
        <v>512</v>
      </c>
      <c r="E8" s="297" t="s">
        <v>611</v>
      </c>
      <c r="F8" s="988" t="s">
        <v>576</v>
      </c>
      <c r="G8" s="234"/>
      <c r="H8" s="260"/>
      <c r="I8" s="260"/>
      <c r="J8" s="988"/>
      <c r="K8" s="988" t="s">
        <v>512</v>
      </c>
      <c r="L8" s="297" t="s">
        <v>611</v>
      </c>
      <c r="M8" s="1009" t="s">
        <v>612</v>
      </c>
      <c r="N8" s="1010"/>
      <c r="O8" s="1011"/>
      <c r="P8" s="988" t="s">
        <v>576</v>
      </c>
      <c r="Q8" s="988"/>
      <c r="R8" s="988"/>
      <c r="S8" s="297" t="s">
        <v>611</v>
      </c>
      <c r="T8" s="988" t="s">
        <v>322</v>
      </c>
      <c r="U8" s="234"/>
      <c r="V8" s="260"/>
      <c r="W8" s="260"/>
      <c r="X8" s="260"/>
      <c r="Y8" s="988" t="s">
        <v>321</v>
      </c>
      <c r="Z8" s="988"/>
    </row>
    <row r="9" spans="1:26" s="224" customFormat="1" ht="95.25" customHeight="1">
      <c r="A9" s="994"/>
      <c r="B9" s="994"/>
      <c r="C9" s="988"/>
      <c r="D9" s="988"/>
      <c r="E9" s="298">
        <f>E11-D11</f>
        <v>34320</v>
      </c>
      <c r="F9" s="988"/>
      <c r="G9" s="234" t="s">
        <v>513</v>
      </c>
      <c r="H9" s="260" t="s">
        <v>514</v>
      </c>
      <c r="I9" s="260">
        <v>2013</v>
      </c>
      <c r="J9" s="988"/>
      <c r="K9" s="988"/>
      <c r="L9" s="298">
        <f>L11-K11</f>
        <v>1181582.3200000003</v>
      </c>
      <c r="M9" s="234" t="s">
        <v>513</v>
      </c>
      <c r="N9" s="298" t="s">
        <v>514</v>
      </c>
      <c r="O9" s="298" t="s">
        <v>613</v>
      </c>
      <c r="P9" s="988"/>
      <c r="Q9" s="988"/>
      <c r="R9" s="988"/>
      <c r="S9" s="298">
        <f>S11-R11</f>
        <v>270287318.09</v>
      </c>
      <c r="T9" s="988"/>
      <c r="U9" s="234" t="s">
        <v>513</v>
      </c>
      <c r="V9" s="260" t="s">
        <v>514</v>
      </c>
      <c r="W9" s="260" t="s">
        <v>614</v>
      </c>
      <c r="X9" s="260" t="s">
        <v>615</v>
      </c>
      <c r="Y9" s="260" t="s">
        <v>616</v>
      </c>
      <c r="Z9" s="260" t="s">
        <v>617</v>
      </c>
    </row>
    <row r="10" spans="1:26" s="224" customFormat="1" ht="12.75">
      <c r="A10" s="964" t="s">
        <v>323</v>
      </c>
      <c r="B10" s="964"/>
      <c r="C10" s="262">
        <v>-1</v>
      </c>
      <c r="D10" s="262">
        <v>-2</v>
      </c>
      <c r="E10" s="262"/>
      <c r="F10" s="262">
        <v>-3</v>
      </c>
      <c r="G10" s="234"/>
      <c r="H10" s="262"/>
      <c r="I10" s="262"/>
      <c r="J10" s="262">
        <v>-4</v>
      </c>
      <c r="K10" s="262">
        <v>-5</v>
      </c>
      <c r="L10" s="262"/>
      <c r="M10" s="234"/>
      <c r="N10" s="298"/>
      <c r="O10" s="262"/>
      <c r="P10" s="262">
        <v>-6</v>
      </c>
      <c r="Q10" s="262">
        <v>-7</v>
      </c>
      <c r="R10" s="262">
        <v>-8</v>
      </c>
      <c r="S10" s="262"/>
      <c r="T10" s="262">
        <v>-9</v>
      </c>
      <c r="U10" s="234"/>
      <c r="V10" s="262"/>
      <c r="W10" s="262"/>
      <c r="X10" s="262"/>
      <c r="Y10" s="262">
        <v>-10</v>
      </c>
      <c r="Z10" s="262">
        <v>-11</v>
      </c>
    </row>
    <row r="11" spans="1:27" s="13" customFormat="1" ht="29.25" customHeight="1">
      <c r="A11" s="1004" t="s">
        <v>618</v>
      </c>
      <c r="B11" s="1004"/>
      <c r="C11" s="299">
        <f>SUM(C12:C74)</f>
        <v>2792125.5</v>
      </c>
      <c r="D11" s="299">
        <f>SUM(D12:D74)</f>
        <v>907828.5</v>
      </c>
      <c r="E11" s="299">
        <f>SUM(E12:E74)</f>
        <v>942148.5</v>
      </c>
      <c r="F11" s="299">
        <f>SUM(F12:F74)</f>
        <v>1884297</v>
      </c>
      <c r="G11" s="300"/>
      <c r="H11" s="299"/>
      <c r="I11" s="299"/>
      <c r="J11" s="299">
        <f>SUM(J12:J74)</f>
        <v>43284063.14</v>
      </c>
      <c r="K11" s="299">
        <f>SUM(K12:K74)</f>
        <v>13640299.5</v>
      </c>
      <c r="L11" s="299">
        <f>SUM(L12:L74)</f>
        <v>14821881.82</v>
      </c>
      <c r="M11" s="300"/>
      <c r="N11" s="301"/>
      <c r="O11" s="301"/>
      <c r="P11" s="299">
        <f>SUM(P12:P74)</f>
        <v>29643763.64</v>
      </c>
      <c r="Q11" s="712">
        <f>SUM(Q12:Q74)</f>
        <v>1897260724.87</v>
      </c>
      <c r="R11" s="712">
        <f>SUM(R12:R74)</f>
        <v>452228696.22999996</v>
      </c>
      <c r="S11" s="712">
        <f>SUM(S12:S74)</f>
        <v>722516014.3199999</v>
      </c>
      <c r="T11" s="713">
        <f>SUM(T12:T74)</f>
        <v>1445032028.6399999</v>
      </c>
      <c r="U11" s="714"/>
      <c r="V11" s="713"/>
      <c r="W11" s="713"/>
      <c r="X11" s="713"/>
      <c r="Y11" s="712">
        <f>SUM(Y12:Y74)</f>
        <v>618962325.53</v>
      </c>
      <c r="Z11" s="712">
        <f>SUM(Z12:Z74)</f>
        <v>826069703.1099999</v>
      </c>
      <c r="AA11" s="457" t="s">
        <v>157</v>
      </c>
    </row>
    <row r="12" spans="1:26" ht="15.75">
      <c r="A12" s="238">
        <v>1</v>
      </c>
      <c r="B12" s="268" t="s">
        <v>449</v>
      </c>
      <c r="C12" s="302">
        <f aca="true" t="shared" si="0" ref="C12:C43">D12+F12</f>
        <v>15833</v>
      </c>
      <c r="D12" s="303">
        <v>5282</v>
      </c>
      <c r="E12" s="304">
        <f aca="true" t="shared" si="1" ref="E12:E43">(F12/4)*2</f>
        <v>5275.5</v>
      </c>
      <c r="F12" s="303">
        <v>10551</v>
      </c>
      <c r="G12" s="305">
        <f aca="true" t="shared" si="2" ref="G12:G43">J12/I12</f>
        <v>1.5487067321783692</v>
      </c>
      <c r="H12" s="303">
        <f aca="true" t="shared" si="3" ref="H12:H43">J12-I12</f>
        <v>174103</v>
      </c>
      <c r="I12" s="28">
        <v>317297</v>
      </c>
      <c r="J12" s="302">
        <f aca="true" t="shared" si="4" ref="J12:J44">K12+P12</f>
        <v>491400</v>
      </c>
      <c r="K12" s="303">
        <v>163518</v>
      </c>
      <c r="L12" s="304">
        <f aca="true" t="shared" si="5" ref="L12:L44">(P12/4)*2</f>
        <v>163941</v>
      </c>
      <c r="M12" s="306">
        <f aca="true" t="shared" si="6" ref="M12:M44">P12/O12</f>
        <v>1.0333599120067318</v>
      </c>
      <c r="N12" s="303">
        <f aca="true" t="shared" si="7" ref="N12:N44">P12-O12</f>
        <v>10585</v>
      </c>
      <c r="O12" s="28">
        <v>317297</v>
      </c>
      <c r="P12" s="303">
        <v>327882</v>
      </c>
      <c r="Q12" s="302">
        <f aca="true" t="shared" si="8" ref="Q12:Q43">R12+T12</f>
        <v>1722712</v>
      </c>
      <c r="R12" s="303">
        <v>574257</v>
      </c>
      <c r="S12" s="304">
        <f aca="true" t="shared" si="9" ref="S12:S43">(T12/4)*2</f>
        <v>574227.5</v>
      </c>
      <c r="T12" s="302">
        <f aca="true" t="shared" si="10" ref="T12:T43">Y12+Z12</f>
        <v>1148455</v>
      </c>
      <c r="U12" s="307">
        <f aca="true" t="shared" si="11" ref="U12:U43">X12/W12</f>
        <v>0.9841088260497001</v>
      </c>
      <c r="V12" s="308">
        <f aca="true" t="shared" si="12" ref="V12:V43">X12-W12</f>
        <v>-18545</v>
      </c>
      <c r="W12" s="28">
        <v>1167000</v>
      </c>
      <c r="X12" s="28">
        <f aca="true" t="shared" si="13" ref="X12:X43">Y12+Z12</f>
        <v>1148455</v>
      </c>
      <c r="Y12" s="303">
        <v>877383</v>
      </c>
      <c r="Z12" s="303">
        <v>271072</v>
      </c>
    </row>
    <row r="13" spans="1:26" ht="31.5">
      <c r="A13" s="238">
        <v>2</v>
      </c>
      <c r="B13" s="276" t="s">
        <v>534</v>
      </c>
      <c r="C13" s="302">
        <f t="shared" si="0"/>
        <v>22305</v>
      </c>
      <c r="D13" s="303">
        <v>7436</v>
      </c>
      <c r="E13" s="304">
        <f t="shared" si="1"/>
        <v>7434.5</v>
      </c>
      <c r="F13" s="303">
        <v>14869</v>
      </c>
      <c r="G13" s="305">
        <f t="shared" si="2"/>
        <v>3.7769496799837867</v>
      </c>
      <c r="H13" s="303">
        <f t="shared" si="3"/>
        <v>424765</v>
      </c>
      <c r="I13" s="28">
        <v>152961</v>
      </c>
      <c r="J13" s="302">
        <f t="shared" si="4"/>
        <v>577726</v>
      </c>
      <c r="K13" s="303">
        <v>192576</v>
      </c>
      <c r="L13" s="304">
        <f t="shared" si="5"/>
        <v>192575</v>
      </c>
      <c r="M13" s="306">
        <f t="shared" si="6"/>
        <v>2.5179620949130825</v>
      </c>
      <c r="N13" s="303">
        <f t="shared" si="7"/>
        <v>232189</v>
      </c>
      <c r="O13" s="28">
        <v>152961</v>
      </c>
      <c r="P13" s="303">
        <v>385150</v>
      </c>
      <c r="Q13" s="302">
        <f t="shared" si="8"/>
        <v>1881171</v>
      </c>
      <c r="R13" s="303">
        <v>627224</v>
      </c>
      <c r="S13" s="304">
        <f t="shared" si="9"/>
        <v>626973.5</v>
      </c>
      <c r="T13" s="302">
        <f t="shared" si="10"/>
        <v>1253947</v>
      </c>
      <c r="U13" s="307">
        <f t="shared" si="11"/>
        <v>2.350856767904012</v>
      </c>
      <c r="V13" s="308">
        <f t="shared" si="12"/>
        <v>720547</v>
      </c>
      <c r="W13" s="28">
        <v>533400</v>
      </c>
      <c r="X13" s="28">
        <f t="shared" si="13"/>
        <v>1253947</v>
      </c>
      <c r="Y13" s="303">
        <v>1095799</v>
      </c>
      <c r="Z13" s="303">
        <v>158148</v>
      </c>
    </row>
    <row r="14" spans="1:26" s="247" customFormat="1" ht="15.75">
      <c r="A14" s="238">
        <v>3</v>
      </c>
      <c r="B14" s="268" t="s">
        <v>451</v>
      </c>
      <c r="C14" s="302">
        <f t="shared" si="0"/>
        <v>20429</v>
      </c>
      <c r="D14" s="303">
        <v>6795</v>
      </c>
      <c r="E14" s="304">
        <f t="shared" si="1"/>
        <v>6817</v>
      </c>
      <c r="F14" s="303">
        <v>13634</v>
      </c>
      <c r="G14" s="305">
        <f t="shared" si="2"/>
        <v>1.6551737269417661</v>
      </c>
      <c r="H14" s="303">
        <f t="shared" si="3"/>
        <v>258069</v>
      </c>
      <c r="I14" s="28">
        <v>393894</v>
      </c>
      <c r="J14" s="302">
        <f t="shared" si="4"/>
        <v>651963</v>
      </c>
      <c r="K14" s="303">
        <v>217447</v>
      </c>
      <c r="L14" s="304">
        <f t="shared" si="5"/>
        <v>217258</v>
      </c>
      <c r="M14" s="306">
        <f t="shared" si="6"/>
        <v>1.1031292682802987</v>
      </c>
      <c r="N14" s="303">
        <f t="shared" si="7"/>
        <v>40622</v>
      </c>
      <c r="O14" s="28">
        <v>393894</v>
      </c>
      <c r="P14" s="303">
        <v>434516</v>
      </c>
      <c r="Q14" s="302">
        <f t="shared" si="8"/>
        <v>2546585</v>
      </c>
      <c r="R14" s="303">
        <v>854767</v>
      </c>
      <c r="S14" s="304">
        <f t="shared" si="9"/>
        <v>845909</v>
      </c>
      <c r="T14" s="302">
        <f t="shared" si="10"/>
        <v>1691818</v>
      </c>
      <c r="U14" s="307">
        <f t="shared" si="11"/>
        <v>2.05442380085003</v>
      </c>
      <c r="V14" s="308">
        <f t="shared" si="12"/>
        <v>868318</v>
      </c>
      <c r="W14" s="28">
        <v>823500</v>
      </c>
      <c r="X14" s="28">
        <f t="shared" si="13"/>
        <v>1691818</v>
      </c>
      <c r="Y14" s="303">
        <v>1110775</v>
      </c>
      <c r="Z14" s="303">
        <v>581043</v>
      </c>
    </row>
    <row r="15" spans="1:26" ht="15.75">
      <c r="A15" s="238">
        <v>4</v>
      </c>
      <c r="B15" s="268" t="s">
        <v>452</v>
      </c>
      <c r="C15" s="302">
        <f t="shared" si="0"/>
        <v>2114</v>
      </c>
      <c r="D15" s="303">
        <v>706</v>
      </c>
      <c r="E15" s="304">
        <f t="shared" si="1"/>
        <v>704</v>
      </c>
      <c r="F15" s="303">
        <v>1408</v>
      </c>
      <c r="G15" s="305">
        <f t="shared" si="2"/>
        <v>0.09023850842955325</v>
      </c>
      <c r="H15" s="303">
        <f t="shared" si="3"/>
        <v>-726067</v>
      </c>
      <c r="I15" s="28">
        <v>798085</v>
      </c>
      <c r="J15" s="302">
        <f t="shared" si="4"/>
        <v>72018</v>
      </c>
      <c r="K15" s="303">
        <v>24006</v>
      </c>
      <c r="L15" s="304">
        <f t="shared" si="5"/>
        <v>24006</v>
      </c>
      <c r="M15" s="306">
        <f t="shared" si="6"/>
        <v>0.06015900561970216</v>
      </c>
      <c r="N15" s="303">
        <f t="shared" si="7"/>
        <v>-750073</v>
      </c>
      <c r="O15" s="28">
        <v>798085</v>
      </c>
      <c r="P15" s="303">
        <v>48012</v>
      </c>
      <c r="Q15" s="302">
        <f t="shared" si="8"/>
        <v>401422</v>
      </c>
      <c r="R15" s="303">
        <v>133808</v>
      </c>
      <c r="S15" s="304">
        <f t="shared" si="9"/>
        <v>133807</v>
      </c>
      <c r="T15" s="302">
        <f t="shared" si="10"/>
        <v>267614</v>
      </c>
      <c r="U15" s="307">
        <f t="shared" si="11"/>
        <v>0.08415534591194969</v>
      </c>
      <c r="V15" s="308">
        <f t="shared" si="12"/>
        <v>-2912386</v>
      </c>
      <c r="W15" s="28">
        <v>3180000</v>
      </c>
      <c r="X15" s="28">
        <f t="shared" si="13"/>
        <v>267614</v>
      </c>
      <c r="Y15" s="303">
        <v>201675</v>
      </c>
      <c r="Z15" s="303">
        <v>65939</v>
      </c>
    </row>
    <row r="16" spans="1:26" ht="15.75">
      <c r="A16" s="238">
        <v>5</v>
      </c>
      <c r="B16" s="268" t="s">
        <v>453</v>
      </c>
      <c r="C16" s="302">
        <f t="shared" si="0"/>
        <v>11062</v>
      </c>
      <c r="D16" s="303">
        <v>3690</v>
      </c>
      <c r="E16" s="304">
        <f t="shared" si="1"/>
        <v>3686</v>
      </c>
      <c r="F16" s="303">
        <v>7372</v>
      </c>
      <c r="G16" s="305">
        <f t="shared" si="2"/>
        <v>1.7140906881665094</v>
      </c>
      <c r="H16" s="303">
        <f t="shared" si="3"/>
        <v>99907</v>
      </c>
      <c r="I16" s="28">
        <v>139908</v>
      </c>
      <c r="J16" s="302">
        <f t="shared" si="4"/>
        <v>239815</v>
      </c>
      <c r="K16" s="303">
        <v>79947</v>
      </c>
      <c r="L16" s="304">
        <f t="shared" si="5"/>
        <v>79934</v>
      </c>
      <c r="M16" s="306">
        <f t="shared" si="6"/>
        <v>1.1426651799754124</v>
      </c>
      <c r="N16" s="303">
        <f t="shared" si="7"/>
        <v>19960</v>
      </c>
      <c r="O16" s="28">
        <v>139908</v>
      </c>
      <c r="P16" s="303">
        <v>159868</v>
      </c>
      <c r="Q16" s="302">
        <f t="shared" si="8"/>
        <v>1118735</v>
      </c>
      <c r="R16" s="303">
        <v>372913</v>
      </c>
      <c r="S16" s="304">
        <f t="shared" si="9"/>
        <v>372911</v>
      </c>
      <c r="T16" s="302">
        <f t="shared" si="10"/>
        <v>745822</v>
      </c>
      <c r="U16" s="307">
        <f t="shared" si="11"/>
        <v>1.2642272219519513</v>
      </c>
      <c r="V16" s="308">
        <f t="shared" si="12"/>
        <v>155879</v>
      </c>
      <c r="W16" s="28">
        <v>589943</v>
      </c>
      <c r="X16" s="28">
        <f t="shared" si="13"/>
        <v>745822</v>
      </c>
      <c r="Y16" s="303">
        <v>616284</v>
      </c>
      <c r="Z16" s="303">
        <v>129538</v>
      </c>
    </row>
    <row r="17" spans="1:26" ht="15.75">
      <c r="A17" s="238">
        <v>6</v>
      </c>
      <c r="B17" s="268" t="s">
        <v>454</v>
      </c>
      <c r="C17" s="302">
        <f t="shared" si="0"/>
        <v>23770</v>
      </c>
      <c r="D17" s="303">
        <v>7863</v>
      </c>
      <c r="E17" s="304">
        <f t="shared" si="1"/>
        <v>7953.5</v>
      </c>
      <c r="F17" s="303">
        <v>15907</v>
      </c>
      <c r="G17" s="305">
        <f t="shared" si="2"/>
        <v>1.8094638875326545</v>
      </c>
      <c r="H17" s="303">
        <f t="shared" si="3"/>
        <v>160817</v>
      </c>
      <c r="I17" s="28">
        <v>198671</v>
      </c>
      <c r="J17" s="302">
        <f t="shared" si="4"/>
        <v>359488</v>
      </c>
      <c r="K17" s="303">
        <v>119829</v>
      </c>
      <c r="L17" s="304">
        <f t="shared" si="5"/>
        <v>119829.5</v>
      </c>
      <c r="M17" s="306">
        <f t="shared" si="6"/>
        <v>1.2063109361708553</v>
      </c>
      <c r="N17" s="303">
        <f t="shared" si="7"/>
        <v>40988</v>
      </c>
      <c r="O17" s="28">
        <v>198671</v>
      </c>
      <c r="P17" s="303">
        <v>239659</v>
      </c>
      <c r="Q17" s="302">
        <f t="shared" si="8"/>
        <v>2434613</v>
      </c>
      <c r="R17" s="303">
        <v>807537</v>
      </c>
      <c r="S17" s="304">
        <f t="shared" si="9"/>
        <v>813538</v>
      </c>
      <c r="T17" s="302">
        <f t="shared" si="10"/>
        <v>1627076</v>
      </c>
      <c r="U17" s="307">
        <f t="shared" si="11"/>
        <v>1.4244931335108832</v>
      </c>
      <c r="V17" s="308">
        <f t="shared" si="12"/>
        <v>484862</v>
      </c>
      <c r="W17" s="28">
        <v>1142214</v>
      </c>
      <c r="X17" s="28">
        <f t="shared" si="13"/>
        <v>1627076</v>
      </c>
      <c r="Y17" s="303">
        <v>1527635</v>
      </c>
      <c r="Z17" s="303">
        <v>99441</v>
      </c>
    </row>
    <row r="18" spans="1:26" s="247" customFormat="1" ht="15.75">
      <c r="A18" s="238">
        <v>7</v>
      </c>
      <c r="B18" s="268" t="s">
        <v>455</v>
      </c>
      <c r="C18" s="302">
        <f t="shared" si="0"/>
        <v>31307</v>
      </c>
      <c r="D18" s="303">
        <v>10437</v>
      </c>
      <c r="E18" s="304">
        <f t="shared" si="1"/>
        <v>10435</v>
      </c>
      <c r="F18" s="303">
        <v>20870</v>
      </c>
      <c r="G18" s="305">
        <f t="shared" si="2"/>
        <v>1.2866580455641234</v>
      </c>
      <c r="H18" s="303">
        <f t="shared" si="3"/>
        <v>89777</v>
      </c>
      <c r="I18" s="28">
        <v>313185</v>
      </c>
      <c r="J18" s="302">
        <f t="shared" si="4"/>
        <v>402962</v>
      </c>
      <c r="K18" s="303">
        <v>134321</v>
      </c>
      <c r="L18" s="304">
        <f t="shared" si="5"/>
        <v>134320.5</v>
      </c>
      <c r="M18" s="306">
        <f t="shared" si="6"/>
        <v>0.857770966042435</v>
      </c>
      <c r="N18" s="303">
        <f t="shared" si="7"/>
        <v>-44544</v>
      </c>
      <c r="O18" s="28">
        <v>313185</v>
      </c>
      <c r="P18" s="303">
        <v>268641</v>
      </c>
      <c r="Q18" s="302">
        <f t="shared" si="8"/>
        <v>2562743</v>
      </c>
      <c r="R18" s="303">
        <v>854128</v>
      </c>
      <c r="S18" s="304">
        <f t="shared" si="9"/>
        <v>854307.5</v>
      </c>
      <c r="T18" s="302">
        <f t="shared" si="10"/>
        <v>1708615</v>
      </c>
      <c r="U18" s="307">
        <f t="shared" si="11"/>
        <v>1.695303477097828</v>
      </c>
      <c r="V18" s="308">
        <f t="shared" si="12"/>
        <v>700763</v>
      </c>
      <c r="W18" s="28">
        <v>1007852</v>
      </c>
      <c r="X18" s="28">
        <f t="shared" si="13"/>
        <v>1708615</v>
      </c>
      <c r="Y18" s="303">
        <v>795775</v>
      </c>
      <c r="Z18" s="303">
        <v>912840</v>
      </c>
    </row>
    <row r="19" spans="1:26" s="247" customFormat="1" ht="15.75">
      <c r="A19" s="238">
        <v>8</v>
      </c>
      <c r="B19" s="268" t="s">
        <v>456</v>
      </c>
      <c r="C19" s="302">
        <f t="shared" si="0"/>
        <v>21152</v>
      </c>
      <c r="D19" s="303">
        <v>7051</v>
      </c>
      <c r="E19" s="304">
        <f t="shared" si="1"/>
        <v>7050.5</v>
      </c>
      <c r="F19" s="303">
        <v>14101</v>
      </c>
      <c r="G19" s="305">
        <f t="shared" si="2"/>
        <v>1.4817087639874462</v>
      </c>
      <c r="H19" s="303">
        <f t="shared" si="3"/>
        <v>233451</v>
      </c>
      <c r="I19" s="28">
        <v>484631</v>
      </c>
      <c r="J19" s="302">
        <f t="shared" si="4"/>
        <v>718082</v>
      </c>
      <c r="K19" s="303">
        <v>239360</v>
      </c>
      <c r="L19" s="304">
        <f t="shared" si="5"/>
        <v>239361</v>
      </c>
      <c r="M19" s="306">
        <f t="shared" si="6"/>
        <v>0.9878072182753477</v>
      </c>
      <c r="N19" s="303">
        <f t="shared" si="7"/>
        <v>-5909</v>
      </c>
      <c r="O19" s="28">
        <v>484631</v>
      </c>
      <c r="P19" s="303">
        <v>478722</v>
      </c>
      <c r="Q19" s="302">
        <f t="shared" si="8"/>
        <v>3493050</v>
      </c>
      <c r="R19" s="303">
        <v>1164350</v>
      </c>
      <c r="S19" s="304">
        <f t="shared" si="9"/>
        <v>1164350</v>
      </c>
      <c r="T19" s="302">
        <f t="shared" si="10"/>
        <v>2328700</v>
      </c>
      <c r="U19" s="307">
        <f t="shared" si="11"/>
        <v>0.8391980859926679</v>
      </c>
      <c r="V19" s="308">
        <f t="shared" si="12"/>
        <v>-446211</v>
      </c>
      <c r="W19" s="28">
        <v>2774911</v>
      </c>
      <c r="X19" s="28">
        <f t="shared" si="13"/>
        <v>2328700</v>
      </c>
      <c r="Y19" s="303">
        <v>1744986</v>
      </c>
      <c r="Z19" s="303">
        <v>583714</v>
      </c>
    </row>
    <row r="20" spans="1:26" s="247" customFormat="1" ht="15.75">
      <c r="A20" s="238">
        <v>9</v>
      </c>
      <c r="B20" s="268" t="s">
        <v>457</v>
      </c>
      <c r="C20" s="302">
        <f t="shared" si="0"/>
        <v>35649</v>
      </c>
      <c r="D20" s="303">
        <v>11821</v>
      </c>
      <c r="E20" s="304">
        <f t="shared" si="1"/>
        <v>11914</v>
      </c>
      <c r="F20" s="303">
        <v>23828</v>
      </c>
      <c r="G20" s="305">
        <f t="shared" si="2"/>
        <v>1.1538328494449417</v>
      </c>
      <c r="H20" s="303">
        <f t="shared" si="3"/>
        <v>91611</v>
      </c>
      <c r="I20" s="28">
        <v>595523</v>
      </c>
      <c r="J20" s="302">
        <f t="shared" si="4"/>
        <v>687134</v>
      </c>
      <c r="K20" s="303">
        <v>228822</v>
      </c>
      <c r="L20" s="304">
        <f t="shared" si="5"/>
        <v>229156</v>
      </c>
      <c r="M20" s="306">
        <f t="shared" si="6"/>
        <v>0.7695958006659692</v>
      </c>
      <c r="N20" s="303">
        <f t="shared" si="7"/>
        <v>-137211</v>
      </c>
      <c r="O20" s="28">
        <v>595523</v>
      </c>
      <c r="P20" s="303">
        <v>458312</v>
      </c>
      <c r="Q20" s="302">
        <f t="shared" si="8"/>
        <v>2993535</v>
      </c>
      <c r="R20" s="303">
        <v>992537</v>
      </c>
      <c r="S20" s="304">
        <f t="shared" si="9"/>
        <v>1000499</v>
      </c>
      <c r="T20" s="302">
        <f t="shared" si="10"/>
        <v>2000998</v>
      </c>
      <c r="U20" s="307">
        <f t="shared" si="11"/>
        <v>0.7051836157594775</v>
      </c>
      <c r="V20" s="308">
        <f t="shared" si="12"/>
        <v>-836558</v>
      </c>
      <c r="W20" s="28">
        <v>2837556</v>
      </c>
      <c r="X20" s="28">
        <f t="shared" si="13"/>
        <v>2000998</v>
      </c>
      <c r="Y20" s="303">
        <v>1762717</v>
      </c>
      <c r="Z20" s="303">
        <v>238281</v>
      </c>
    </row>
    <row r="21" spans="1:27" s="247" customFormat="1" ht="15.75">
      <c r="A21" s="238">
        <v>10</v>
      </c>
      <c r="B21" s="268" t="s">
        <v>362</v>
      </c>
      <c r="C21" s="302">
        <f t="shared" si="0"/>
        <v>19614</v>
      </c>
      <c r="D21" s="303">
        <v>6191</v>
      </c>
      <c r="E21" s="304">
        <f t="shared" si="1"/>
        <v>6711.5</v>
      </c>
      <c r="F21" s="303">
        <v>13423</v>
      </c>
      <c r="G21" s="305">
        <f t="shared" si="2"/>
        <v>0.6087934733698098</v>
      </c>
      <c r="H21" s="303">
        <f t="shared" si="3"/>
        <v>-119976</v>
      </c>
      <c r="I21" s="28">
        <v>306682</v>
      </c>
      <c r="J21" s="302">
        <f t="shared" si="4"/>
        <v>186706</v>
      </c>
      <c r="K21" s="303">
        <v>59227</v>
      </c>
      <c r="L21" s="304">
        <f t="shared" si="5"/>
        <v>63739.5</v>
      </c>
      <c r="M21" s="306">
        <f t="shared" si="6"/>
        <v>0.4156716077239616</v>
      </c>
      <c r="N21" s="303">
        <f t="shared" si="7"/>
        <v>-179203</v>
      </c>
      <c r="O21" s="28">
        <v>306682</v>
      </c>
      <c r="P21" s="303">
        <v>127479</v>
      </c>
      <c r="Q21" s="309">
        <f t="shared" si="8"/>
        <v>1549632650</v>
      </c>
      <c r="R21" s="310">
        <v>338834500</v>
      </c>
      <c r="S21" s="311">
        <f t="shared" si="9"/>
        <v>605399075</v>
      </c>
      <c r="T21" s="312">
        <f t="shared" si="10"/>
        <v>1210798150</v>
      </c>
      <c r="U21" s="313">
        <f t="shared" si="11"/>
        <v>3735.0946114360454</v>
      </c>
      <c r="V21" s="309">
        <f t="shared" si="12"/>
        <v>1210473982</v>
      </c>
      <c r="W21" s="314">
        <v>324168</v>
      </c>
      <c r="X21" s="314">
        <f t="shared" si="13"/>
        <v>1210798150</v>
      </c>
      <c r="Y21" s="311">
        <v>421212000</v>
      </c>
      <c r="Z21" s="311">
        <v>789586150</v>
      </c>
      <c r="AA21" s="247" t="s">
        <v>619</v>
      </c>
    </row>
    <row r="22" spans="1:26" ht="15.75">
      <c r="A22" s="238">
        <v>11</v>
      </c>
      <c r="B22" s="268" t="s">
        <v>363</v>
      </c>
      <c r="C22" s="302">
        <f t="shared" si="0"/>
        <v>22487</v>
      </c>
      <c r="D22" s="303">
        <v>7231</v>
      </c>
      <c r="E22" s="304">
        <f t="shared" si="1"/>
        <v>7628</v>
      </c>
      <c r="F22" s="303">
        <v>15256</v>
      </c>
      <c r="G22" s="305">
        <f t="shared" si="2"/>
        <v>0.7876273746463293</v>
      </c>
      <c r="H22" s="303">
        <f t="shared" si="3"/>
        <v>-29949</v>
      </c>
      <c r="I22" s="28">
        <v>141021</v>
      </c>
      <c r="J22" s="302">
        <f t="shared" si="4"/>
        <v>111072</v>
      </c>
      <c r="K22" s="303">
        <v>35157</v>
      </c>
      <c r="L22" s="304">
        <f t="shared" si="5"/>
        <v>37957.5</v>
      </c>
      <c r="M22" s="306">
        <f t="shared" si="6"/>
        <v>0.5383240793924309</v>
      </c>
      <c r="N22" s="303">
        <f t="shared" si="7"/>
        <v>-65106</v>
      </c>
      <c r="O22" s="28">
        <v>141021</v>
      </c>
      <c r="P22" s="303">
        <v>75915</v>
      </c>
      <c r="Q22" s="302">
        <f t="shared" si="8"/>
        <v>2057270</v>
      </c>
      <c r="R22" s="303">
        <v>637042</v>
      </c>
      <c r="S22" s="304">
        <f t="shared" si="9"/>
        <v>710114</v>
      </c>
      <c r="T22" s="302">
        <f t="shared" si="10"/>
        <v>1420228</v>
      </c>
      <c r="U22" s="307">
        <f t="shared" si="11"/>
        <v>1.6441782280919481</v>
      </c>
      <c r="V22" s="308">
        <f t="shared" si="12"/>
        <v>556436</v>
      </c>
      <c r="W22" s="28">
        <v>863792</v>
      </c>
      <c r="X22" s="28">
        <f t="shared" si="13"/>
        <v>1420228</v>
      </c>
      <c r="Y22" s="303">
        <v>386881</v>
      </c>
      <c r="Z22" s="303">
        <v>1033347</v>
      </c>
    </row>
    <row r="23" spans="1:26" ht="15.75">
      <c r="A23" s="238">
        <v>12</v>
      </c>
      <c r="B23" s="268" t="s">
        <v>364</v>
      </c>
      <c r="C23" s="302">
        <f t="shared" si="0"/>
        <v>28506</v>
      </c>
      <c r="D23" s="303">
        <v>15617</v>
      </c>
      <c r="E23" s="304">
        <f t="shared" si="1"/>
        <v>6444.5</v>
      </c>
      <c r="F23" s="303">
        <v>12889</v>
      </c>
      <c r="G23" s="305">
        <f t="shared" si="2"/>
        <v>2.4161177805716574</v>
      </c>
      <c r="H23" s="303">
        <f t="shared" si="3"/>
        <v>509117</v>
      </c>
      <c r="I23" s="28">
        <v>359516</v>
      </c>
      <c r="J23" s="302">
        <f t="shared" si="4"/>
        <v>868633</v>
      </c>
      <c r="K23" s="303">
        <v>533300</v>
      </c>
      <c r="L23" s="304">
        <f t="shared" si="5"/>
        <v>167666.5</v>
      </c>
      <c r="M23" s="306">
        <f t="shared" si="6"/>
        <v>0.9327345653600952</v>
      </c>
      <c r="N23" s="303">
        <f t="shared" si="7"/>
        <v>-24183</v>
      </c>
      <c r="O23" s="28">
        <v>359516</v>
      </c>
      <c r="P23" s="303">
        <v>335333</v>
      </c>
      <c r="Q23" s="302">
        <f t="shared" si="8"/>
        <v>2392523</v>
      </c>
      <c r="R23" s="303">
        <v>798120</v>
      </c>
      <c r="S23" s="304">
        <f t="shared" si="9"/>
        <v>797201.5</v>
      </c>
      <c r="T23" s="302">
        <f t="shared" si="10"/>
        <v>1594403</v>
      </c>
      <c r="U23" s="307">
        <f t="shared" si="11"/>
        <v>1.8159487471526197</v>
      </c>
      <c r="V23" s="308">
        <f t="shared" si="12"/>
        <v>716403</v>
      </c>
      <c r="W23" s="28">
        <v>878000</v>
      </c>
      <c r="X23" s="28">
        <f t="shared" si="13"/>
        <v>1594403</v>
      </c>
      <c r="Y23" s="303">
        <v>1034494</v>
      </c>
      <c r="Z23" s="303">
        <v>559909</v>
      </c>
    </row>
    <row r="24" spans="1:27" ht="15.75">
      <c r="A24" s="238">
        <v>13</v>
      </c>
      <c r="B24" s="268" t="s">
        <v>365</v>
      </c>
      <c r="C24" s="302">
        <f t="shared" si="0"/>
        <v>40954</v>
      </c>
      <c r="D24" s="303">
        <v>13653</v>
      </c>
      <c r="E24" s="304">
        <f t="shared" si="1"/>
        <v>13650.5</v>
      </c>
      <c r="F24" s="303">
        <v>27301</v>
      </c>
      <c r="G24" s="305">
        <f t="shared" si="2"/>
        <v>9.145968378720825</v>
      </c>
      <c r="H24" s="303">
        <f t="shared" si="3"/>
        <v>887210</v>
      </c>
      <c r="I24" s="28">
        <v>108914</v>
      </c>
      <c r="J24" s="302">
        <f t="shared" si="4"/>
        <v>996124</v>
      </c>
      <c r="K24" s="303">
        <v>332042</v>
      </c>
      <c r="L24" s="304">
        <f t="shared" si="5"/>
        <v>332041</v>
      </c>
      <c r="M24" s="306">
        <f t="shared" si="6"/>
        <v>6.097306131443157</v>
      </c>
      <c r="N24" s="303">
        <f t="shared" si="7"/>
        <v>555168</v>
      </c>
      <c r="O24" s="28">
        <v>108914</v>
      </c>
      <c r="P24" s="311">
        <v>664082</v>
      </c>
      <c r="Q24" s="302">
        <f t="shared" si="8"/>
        <v>3496398</v>
      </c>
      <c r="R24" s="303">
        <v>1165552</v>
      </c>
      <c r="S24" s="304">
        <f t="shared" si="9"/>
        <v>1165423</v>
      </c>
      <c r="T24" s="302">
        <f t="shared" si="10"/>
        <v>2330846</v>
      </c>
      <c r="U24" s="307">
        <f t="shared" si="11"/>
        <v>8.828962121212122</v>
      </c>
      <c r="V24" s="308">
        <f t="shared" si="12"/>
        <v>2066846</v>
      </c>
      <c r="W24" s="28">
        <v>264000</v>
      </c>
      <c r="X24" s="28">
        <f t="shared" si="13"/>
        <v>2330846</v>
      </c>
      <c r="Y24" s="303">
        <v>1515185</v>
      </c>
      <c r="Z24" s="303">
        <v>815661</v>
      </c>
      <c r="AA24" t="s">
        <v>620</v>
      </c>
    </row>
    <row r="25" spans="1:27" ht="15.75">
      <c r="A25" s="238">
        <v>14</v>
      </c>
      <c r="B25" s="268" t="s">
        <v>366</v>
      </c>
      <c r="C25" s="309">
        <f t="shared" si="0"/>
        <v>24606</v>
      </c>
      <c r="D25" s="311">
        <v>8166</v>
      </c>
      <c r="E25" s="311">
        <f t="shared" si="1"/>
        <v>8220</v>
      </c>
      <c r="F25" s="311">
        <v>16440</v>
      </c>
      <c r="G25" s="315">
        <f t="shared" si="2"/>
        <v>0.6431596006064091</v>
      </c>
      <c r="H25" s="311">
        <f t="shared" si="3"/>
        <v>-13652</v>
      </c>
      <c r="I25" s="314">
        <v>38258</v>
      </c>
      <c r="J25" s="309">
        <f t="shared" si="4"/>
        <v>24606</v>
      </c>
      <c r="K25" s="311">
        <v>8166</v>
      </c>
      <c r="L25" s="311">
        <f t="shared" si="5"/>
        <v>8220</v>
      </c>
      <c r="M25" s="316">
        <f t="shared" si="6"/>
        <v>0.4297140467353233</v>
      </c>
      <c r="N25" s="311">
        <f t="shared" si="7"/>
        <v>-21818</v>
      </c>
      <c r="O25" s="314">
        <v>38258</v>
      </c>
      <c r="P25" s="311">
        <v>16440</v>
      </c>
      <c r="Q25" s="309">
        <f t="shared" si="8"/>
        <v>143865500</v>
      </c>
      <c r="R25" s="311">
        <v>47885500</v>
      </c>
      <c r="S25" s="311">
        <f t="shared" si="9"/>
        <v>47990000</v>
      </c>
      <c r="T25" s="309">
        <f t="shared" si="10"/>
        <v>95980000</v>
      </c>
      <c r="U25" s="313">
        <f t="shared" si="11"/>
        <v>804.4050352838633</v>
      </c>
      <c r="V25" s="309">
        <f t="shared" si="12"/>
        <v>95860682</v>
      </c>
      <c r="W25" s="314">
        <v>119318</v>
      </c>
      <c r="X25" s="314">
        <f t="shared" si="13"/>
        <v>95980000</v>
      </c>
      <c r="Y25" s="311">
        <v>95980000</v>
      </c>
      <c r="Z25" s="303">
        <v>0</v>
      </c>
      <c r="AA25" t="s">
        <v>621</v>
      </c>
    </row>
    <row r="26" spans="1:26" ht="15.75">
      <c r="A26" s="238">
        <v>15</v>
      </c>
      <c r="B26" s="268" t="s">
        <v>367</v>
      </c>
      <c r="C26" s="302">
        <f t="shared" si="0"/>
        <v>16491</v>
      </c>
      <c r="D26" s="303">
        <v>5368</v>
      </c>
      <c r="E26" s="304">
        <f t="shared" si="1"/>
        <v>5561.5</v>
      </c>
      <c r="F26" s="303">
        <v>11123</v>
      </c>
      <c r="G26" s="305">
        <f t="shared" si="2"/>
        <v>1.2527451941594594</v>
      </c>
      <c r="H26" s="303">
        <f t="shared" si="3"/>
        <v>144363</v>
      </c>
      <c r="I26" s="28">
        <v>571180</v>
      </c>
      <c r="J26" s="302">
        <f t="shared" si="4"/>
        <v>715543</v>
      </c>
      <c r="K26" s="303">
        <v>200583</v>
      </c>
      <c r="L26" s="304">
        <f t="shared" si="5"/>
        <v>257480</v>
      </c>
      <c r="M26" s="306">
        <f t="shared" si="6"/>
        <v>0.9015721838999965</v>
      </c>
      <c r="N26" s="303">
        <f t="shared" si="7"/>
        <v>-56220</v>
      </c>
      <c r="O26" s="28">
        <v>571180</v>
      </c>
      <c r="P26" s="303">
        <v>514960</v>
      </c>
      <c r="Q26" s="302">
        <f t="shared" si="8"/>
        <v>4758607</v>
      </c>
      <c r="R26" s="303">
        <v>1716934</v>
      </c>
      <c r="S26" s="304">
        <f t="shared" si="9"/>
        <v>1520836.5</v>
      </c>
      <c r="T26" s="302">
        <f t="shared" si="10"/>
        <v>3041673</v>
      </c>
      <c r="U26" s="307">
        <f t="shared" si="11"/>
        <v>0.900969490521327</v>
      </c>
      <c r="V26" s="308">
        <f t="shared" si="12"/>
        <v>-334327</v>
      </c>
      <c r="W26" s="28">
        <v>3376000</v>
      </c>
      <c r="X26" s="28">
        <f t="shared" si="13"/>
        <v>3041673</v>
      </c>
      <c r="Y26" s="303">
        <v>2703588</v>
      </c>
      <c r="Z26" s="303">
        <v>338085</v>
      </c>
    </row>
    <row r="27" spans="1:26" ht="15.75">
      <c r="A27" s="238">
        <v>16</v>
      </c>
      <c r="B27" s="268" t="s">
        <v>368</v>
      </c>
      <c r="C27" s="302">
        <f t="shared" si="0"/>
        <v>11170</v>
      </c>
      <c r="D27" s="303">
        <v>3682</v>
      </c>
      <c r="E27" s="304">
        <f t="shared" si="1"/>
        <v>3744</v>
      </c>
      <c r="F27" s="303">
        <v>7488</v>
      </c>
      <c r="G27" s="305">
        <f t="shared" si="2"/>
        <v>0.4406422126983399</v>
      </c>
      <c r="H27" s="303">
        <f t="shared" si="3"/>
        <v>-585755</v>
      </c>
      <c r="I27" s="28">
        <v>1047192</v>
      </c>
      <c r="J27" s="302">
        <f t="shared" si="4"/>
        <v>461437</v>
      </c>
      <c r="K27" s="303">
        <v>153810</v>
      </c>
      <c r="L27" s="304">
        <f t="shared" si="5"/>
        <v>153813.5</v>
      </c>
      <c r="M27" s="306">
        <f t="shared" si="6"/>
        <v>0.29376370331324153</v>
      </c>
      <c r="N27" s="303">
        <f t="shared" si="7"/>
        <v>-739565</v>
      </c>
      <c r="O27" s="28">
        <v>1047192</v>
      </c>
      <c r="P27" s="303">
        <v>307627</v>
      </c>
      <c r="Q27" s="302">
        <f t="shared" si="8"/>
        <v>3106990</v>
      </c>
      <c r="R27" s="303">
        <v>1011258</v>
      </c>
      <c r="S27" s="304">
        <f t="shared" si="9"/>
        <v>1047866</v>
      </c>
      <c r="T27" s="302">
        <f t="shared" si="10"/>
        <v>2095732</v>
      </c>
      <c r="U27" s="307">
        <f t="shared" si="11"/>
        <v>0.36277168080318506</v>
      </c>
      <c r="V27" s="308">
        <f t="shared" si="12"/>
        <v>-3681268</v>
      </c>
      <c r="W27" s="28">
        <v>5777000</v>
      </c>
      <c r="X27" s="28">
        <f t="shared" si="13"/>
        <v>2095732</v>
      </c>
      <c r="Y27" s="303">
        <v>1194744</v>
      </c>
      <c r="Z27" s="303">
        <v>900988</v>
      </c>
    </row>
    <row r="28" spans="1:26" ht="15.75">
      <c r="A28" s="238">
        <v>17</v>
      </c>
      <c r="B28" s="268" t="s">
        <v>369</v>
      </c>
      <c r="C28" s="302">
        <f t="shared" si="0"/>
        <v>8177</v>
      </c>
      <c r="D28" s="303">
        <v>2726</v>
      </c>
      <c r="E28" s="304">
        <f t="shared" si="1"/>
        <v>2725.5</v>
      </c>
      <c r="F28" s="303">
        <v>5451</v>
      </c>
      <c r="G28" s="305">
        <f t="shared" si="2"/>
        <v>1.4296662967398828</v>
      </c>
      <c r="H28" s="303">
        <f t="shared" si="3"/>
        <v>78207</v>
      </c>
      <c r="I28" s="28">
        <v>182018</v>
      </c>
      <c r="J28" s="302">
        <f t="shared" si="4"/>
        <v>260225</v>
      </c>
      <c r="K28" s="303">
        <v>86742</v>
      </c>
      <c r="L28" s="304">
        <f t="shared" si="5"/>
        <v>86741.5</v>
      </c>
      <c r="M28" s="306">
        <f t="shared" si="6"/>
        <v>0.9531090331725434</v>
      </c>
      <c r="N28" s="303">
        <f t="shared" si="7"/>
        <v>-8535</v>
      </c>
      <c r="O28" s="28">
        <v>182018</v>
      </c>
      <c r="P28" s="303">
        <v>173483</v>
      </c>
      <c r="Q28" s="302">
        <f t="shared" si="8"/>
        <v>1550305</v>
      </c>
      <c r="R28" s="303">
        <v>516769</v>
      </c>
      <c r="S28" s="304">
        <f t="shared" si="9"/>
        <v>516768</v>
      </c>
      <c r="T28" s="302">
        <f t="shared" si="10"/>
        <v>1033536</v>
      </c>
      <c r="U28" s="307">
        <f t="shared" si="11"/>
        <v>1.7758350515463917</v>
      </c>
      <c r="V28" s="308">
        <f t="shared" si="12"/>
        <v>451536</v>
      </c>
      <c r="W28" s="28">
        <v>582000</v>
      </c>
      <c r="X28" s="28">
        <f t="shared" si="13"/>
        <v>1033536</v>
      </c>
      <c r="Y28" s="303">
        <v>444130</v>
      </c>
      <c r="Z28" s="303">
        <v>589406</v>
      </c>
    </row>
    <row r="29" spans="1:26" ht="15.75">
      <c r="A29" s="238">
        <v>18</v>
      </c>
      <c r="B29" s="268" t="s">
        <v>370</v>
      </c>
      <c r="C29" s="302">
        <f t="shared" si="0"/>
        <v>3685</v>
      </c>
      <c r="D29" s="303">
        <v>547</v>
      </c>
      <c r="E29" s="304">
        <f t="shared" si="1"/>
        <v>1569</v>
      </c>
      <c r="F29" s="303">
        <v>3138</v>
      </c>
      <c r="G29" s="305">
        <f t="shared" si="2"/>
        <v>1.3041321404424597</v>
      </c>
      <c r="H29" s="303">
        <f t="shared" si="3"/>
        <v>38685</v>
      </c>
      <c r="I29" s="28">
        <v>127198</v>
      </c>
      <c r="J29" s="302">
        <f t="shared" si="4"/>
        <v>165883</v>
      </c>
      <c r="K29" s="303">
        <v>53263</v>
      </c>
      <c r="L29" s="304">
        <f t="shared" si="5"/>
        <v>56310</v>
      </c>
      <c r="M29" s="306">
        <f t="shared" si="6"/>
        <v>0.8853912797371027</v>
      </c>
      <c r="N29" s="303">
        <f t="shared" si="7"/>
        <v>-14578</v>
      </c>
      <c r="O29" s="28">
        <v>127198</v>
      </c>
      <c r="P29" s="303">
        <v>112620</v>
      </c>
      <c r="Q29" s="302">
        <f t="shared" si="8"/>
        <v>980157</v>
      </c>
      <c r="R29" s="303">
        <v>187608</v>
      </c>
      <c r="S29" s="304">
        <f t="shared" si="9"/>
        <v>396274.5</v>
      </c>
      <c r="T29" s="302">
        <f t="shared" si="10"/>
        <v>792549</v>
      </c>
      <c r="U29" s="307">
        <f t="shared" si="11"/>
        <v>1.0812401091405184</v>
      </c>
      <c r="V29" s="308">
        <f t="shared" si="12"/>
        <v>59549</v>
      </c>
      <c r="W29" s="28">
        <v>733000</v>
      </c>
      <c r="X29" s="28">
        <f t="shared" si="13"/>
        <v>792549</v>
      </c>
      <c r="Y29" s="303">
        <v>518833</v>
      </c>
      <c r="Z29" s="303">
        <v>273716</v>
      </c>
    </row>
    <row r="30" spans="1:27" ht="15.75">
      <c r="A30" s="238">
        <v>19</v>
      </c>
      <c r="B30" s="268" t="s">
        <v>371</v>
      </c>
      <c r="C30" s="302">
        <f t="shared" si="0"/>
        <v>58583</v>
      </c>
      <c r="D30" s="303">
        <v>15216</v>
      </c>
      <c r="E30" s="304">
        <f t="shared" si="1"/>
        <v>21683.5</v>
      </c>
      <c r="F30" s="303">
        <v>43367</v>
      </c>
      <c r="G30" s="305">
        <f t="shared" si="2"/>
        <v>4.735971390088709</v>
      </c>
      <c r="H30" s="303">
        <f t="shared" si="3"/>
        <v>804392</v>
      </c>
      <c r="I30" s="14">
        <v>215310</v>
      </c>
      <c r="J30" s="302">
        <f t="shared" si="4"/>
        <v>1019702</v>
      </c>
      <c r="K30" s="303">
        <v>416651</v>
      </c>
      <c r="L30" s="304">
        <f t="shared" si="5"/>
        <v>301525.5</v>
      </c>
      <c r="M30" s="306">
        <f t="shared" si="6"/>
        <v>2.8008499372997075</v>
      </c>
      <c r="N30" s="303">
        <f t="shared" si="7"/>
        <v>387741</v>
      </c>
      <c r="O30" s="14">
        <v>215310</v>
      </c>
      <c r="P30" s="311">
        <v>603051</v>
      </c>
      <c r="Q30" s="302">
        <f t="shared" si="8"/>
        <v>7601906</v>
      </c>
      <c r="R30" s="303">
        <v>3193140</v>
      </c>
      <c r="S30" s="304">
        <f t="shared" si="9"/>
        <v>2204383</v>
      </c>
      <c r="T30" s="302">
        <f t="shared" si="10"/>
        <v>4408766</v>
      </c>
      <c r="U30" s="307">
        <f t="shared" si="11"/>
        <v>3.4617382633070815</v>
      </c>
      <c r="V30" s="308">
        <f t="shared" si="12"/>
        <v>3135196</v>
      </c>
      <c r="W30" s="14">
        <v>1273570</v>
      </c>
      <c r="X30" s="28">
        <f t="shared" si="13"/>
        <v>4408766</v>
      </c>
      <c r="Y30" s="303">
        <v>3014227</v>
      </c>
      <c r="Z30" s="303">
        <v>1394539</v>
      </c>
      <c r="AA30" t="s">
        <v>622</v>
      </c>
    </row>
    <row r="31" spans="1:26" s="247" customFormat="1" ht="15.75">
      <c r="A31" s="238">
        <v>20</v>
      </c>
      <c r="B31" s="268" t="s">
        <v>372</v>
      </c>
      <c r="C31" s="302">
        <f t="shared" si="0"/>
        <v>34595</v>
      </c>
      <c r="D31" s="303">
        <v>11529</v>
      </c>
      <c r="E31" s="304">
        <f t="shared" si="1"/>
        <v>11533</v>
      </c>
      <c r="F31" s="303">
        <v>23066</v>
      </c>
      <c r="G31" s="305">
        <f t="shared" si="2"/>
        <v>1.5148015008572777</v>
      </c>
      <c r="H31" s="303">
        <f t="shared" si="3"/>
        <v>124305</v>
      </c>
      <c r="I31" s="14">
        <v>241462</v>
      </c>
      <c r="J31" s="302">
        <f t="shared" si="4"/>
        <v>365767</v>
      </c>
      <c r="K31" s="303">
        <v>121922</v>
      </c>
      <c r="L31" s="304">
        <f t="shared" si="5"/>
        <v>121922.5</v>
      </c>
      <c r="M31" s="306">
        <f t="shared" si="6"/>
        <v>1.0098690477176533</v>
      </c>
      <c r="N31" s="303">
        <f t="shared" si="7"/>
        <v>2383</v>
      </c>
      <c r="O31" s="14">
        <v>241462</v>
      </c>
      <c r="P31" s="303">
        <v>243845</v>
      </c>
      <c r="Q31" s="302">
        <f t="shared" si="8"/>
        <v>7793502.5</v>
      </c>
      <c r="R31" s="303">
        <v>2912590.5</v>
      </c>
      <c r="S31" s="304">
        <f t="shared" si="9"/>
        <v>2440456</v>
      </c>
      <c r="T31" s="302">
        <f t="shared" si="10"/>
        <v>4880912</v>
      </c>
      <c r="U31" s="307">
        <f t="shared" si="11"/>
        <v>1.9492460063897763</v>
      </c>
      <c r="V31" s="308">
        <f t="shared" si="12"/>
        <v>2376912</v>
      </c>
      <c r="W31" s="14">
        <v>2504000</v>
      </c>
      <c r="X31" s="28">
        <f t="shared" si="13"/>
        <v>4880912</v>
      </c>
      <c r="Y31" s="303">
        <v>2212765</v>
      </c>
      <c r="Z31" s="303">
        <v>2668147</v>
      </c>
    </row>
    <row r="32" spans="1:26" s="247" customFormat="1" ht="15.75">
      <c r="A32" s="238">
        <v>21</v>
      </c>
      <c r="B32" s="268" t="s">
        <v>373</v>
      </c>
      <c r="C32" s="302">
        <f t="shared" si="0"/>
        <v>12926</v>
      </c>
      <c r="D32" s="303">
        <v>4310</v>
      </c>
      <c r="E32" s="304">
        <f t="shared" si="1"/>
        <v>4308</v>
      </c>
      <c r="F32" s="303">
        <v>8616</v>
      </c>
      <c r="G32" s="305">
        <f t="shared" si="2"/>
        <v>3.5677542121910957</v>
      </c>
      <c r="H32" s="303">
        <f t="shared" si="3"/>
        <v>203759</v>
      </c>
      <c r="I32" s="28">
        <v>79353</v>
      </c>
      <c r="J32" s="302">
        <f t="shared" si="4"/>
        <v>283112</v>
      </c>
      <c r="K32" s="303">
        <v>94371</v>
      </c>
      <c r="L32" s="304">
        <f t="shared" si="5"/>
        <v>94370.5</v>
      </c>
      <c r="M32" s="306">
        <f t="shared" si="6"/>
        <v>2.37849860748806</v>
      </c>
      <c r="N32" s="303">
        <f t="shared" si="7"/>
        <v>109388</v>
      </c>
      <c r="O32" s="28">
        <v>79353</v>
      </c>
      <c r="P32" s="303">
        <v>188741</v>
      </c>
      <c r="Q32" s="302">
        <f t="shared" si="8"/>
        <v>3246971</v>
      </c>
      <c r="R32" s="303">
        <v>1082325</v>
      </c>
      <c r="S32" s="304">
        <f t="shared" si="9"/>
        <v>1082323</v>
      </c>
      <c r="T32" s="302">
        <f t="shared" si="10"/>
        <v>2164646</v>
      </c>
      <c r="U32" s="307">
        <f t="shared" si="11"/>
        <v>2.5708384798099764</v>
      </c>
      <c r="V32" s="308">
        <f t="shared" si="12"/>
        <v>1322646</v>
      </c>
      <c r="W32" s="28">
        <v>842000</v>
      </c>
      <c r="X32" s="28">
        <f t="shared" si="13"/>
        <v>2164646</v>
      </c>
      <c r="Y32" s="303">
        <v>1325741</v>
      </c>
      <c r="Z32" s="303">
        <v>838905</v>
      </c>
    </row>
    <row r="33" spans="1:27" ht="15.75">
      <c r="A33" s="238">
        <v>22</v>
      </c>
      <c r="B33" s="268" t="s">
        <v>374</v>
      </c>
      <c r="C33" s="302">
        <f t="shared" si="0"/>
        <v>5539</v>
      </c>
      <c r="D33" s="303">
        <v>2190</v>
      </c>
      <c r="E33" s="304">
        <f t="shared" si="1"/>
        <v>1674.5</v>
      </c>
      <c r="F33" s="303">
        <v>3349</v>
      </c>
      <c r="G33" s="305">
        <f t="shared" si="2"/>
        <v>20.660523527047275</v>
      </c>
      <c r="H33" s="303">
        <f t="shared" si="3"/>
        <v>1614070</v>
      </c>
      <c r="I33" s="14">
        <v>82097</v>
      </c>
      <c r="J33" s="317">
        <f t="shared" si="4"/>
        <v>1696167</v>
      </c>
      <c r="K33" s="303">
        <v>564308</v>
      </c>
      <c r="L33" s="304">
        <f t="shared" si="5"/>
        <v>565929.5</v>
      </c>
      <c r="M33" s="306">
        <f t="shared" si="6"/>
        <v>13.786849702181566</v>
      </c>
      <c r="N33" s="303">
        <f t="shared" si="7"/>
        <v>1049762</v>
      </c>
      <c r="O33" s="14">
        <v>82097</v>
      </c>
      <c r="P33" s="311">
        <v>1131859</v>
      </c>
      <c r="Q33" s="302">
        <f t="shared" si="8"/>
        <v>776586</v>
      </c>
      <c r="R33" s="303">
        <v>255374</v>
      </c>
      <c r="S33" s="304">
        <f t="shared" si="9"/>
        <v>260606</v>
      </c>
      <c r="T33" s="302">
        <f t="shared" si="10"/>
        <v>521212</v>
      </c>
      <c r="U33" s="307">
        <f t="shared" si="11"/>
        <v>1.9371086012034178</v>
      </c>
      <c r="V33" s="308">
        <f t="shared" si="12"/>
        <v>252145</v>
      </c>
      <c r="W33" s="14">
        <v>269067</v>
      </c>
      <c r="X33" s="28">
        <f t="shared" si="13"/>
        <v>521212</v>
      </c>
      <c r="Y33" s="303">
        <v>484094</v>
      </c>
      <c r="Z33" s="303">
        <v>37118</v>
      </c>
      <c r="AA33" t="s">
        <v>623</v>
      </c>
    </row>
    <row r="34" spans="1:26" ht="15.75">
      <c r="A34" s="238">
        <v>23</v>
      </c>
      <c r="B34" s="268" t="s">
        <v>375</v>
      </c>
      <c r="C34" s="302">
        <f t="shared" si="0"/>
        <v>5624</v>
      </c>
      <c r="D34" s="318">
        <v>1902</v>
      </c>
      <c r="E34" s="304">
        <f t="shared" si="1"/>
        <v>1861</v>
      </c>
      <c r="F34" s="318">
        <v>3722</v>
      </c>
      <c r="G34" s="305">
        <f t="shared" si="2"/>
        <v>1.617281300192421</v>
      </c>
      <c r="H34" s="303">
        <f t="shared" si="3"/>
        <v>77633</v>
      </c>
      <c r="I34" s="14">
        <v>125766</v>
      </c>
      <c r="J34" s="302">
        <f t="shared" si="4"/>
        <v>203399</v>
      </c>
      <c r="K34" s="303">
        <v>66260</v>
      </c>
      <c r="L34" s="304">
        <f t="shared" si="5"/>
        <v>68569.5</v>
      </c>
      <c r="M34" s="306">
        <f t="shared" si="6"/>
        <v>1.0904298459042985</v>
      </c>
      <c r="N34" s="303">
        <f t="shared" si="7"/>
        <v>11373</v>
      </c>
      <c r="O34" s="14">
        <v>125766</v>
      </c>
      <c r="P34" s="303">
        <v>137139</v>
      </c>
      <c r="Q34" s="302">
        <f t="shared" si="8"/>
        <v>1271551</v>
      </c>
      <c r="R34" s="303">
        <v>400346</v>
      </c>
      <c r="S34" s="304">
        <f t="shared" si="9"/>
        <v>435602.5</v>
      </c>
      <c r="T34" s="302">
        <f t="shared" si="10"/>
        <v>871205</v>
      </c>
      <c r="U34" s="307">
        <f t="shared" si="11"/>
        <v>1.6163358070500928</v>
      </c>
      <c r="V34" s="308">
        <f t="shared" si="12"/>
        <v>332205</v>
      </c>
      <c r="W34" s="14">
        <v>539000</v>
      </c>
      <c r="X34" s="28">
        <f t="shared" si="13"/>
        <v>871205</v>
      </c>
      <c r="Y34" s="303">
        <v>651040</v>
      </c>
      <c r="Z34" s="303">
        <v>220165</v>
      </c>
    </row>
    <row r="35" spans="1:26" ht="15.75">
      <c r="A35" s="238">
        <v>24</v>
      </c>
      <c r="B35" s="268" t="s">
        <v>376</v>
      </c>
      <c r="C35" s="302">
        <f t="shared" si="0"/>
        <v>116730</v>
      </c>
      <c r="D35" s="303">
        <v>38909</v>
      </c>
      <c r="E35" s="304">
        <f t="shared" si="1"/>
        <v>38910.5</v>
      </c>
      <c r="F35" s="303">
        <v>77821</v>
      </c>
      <c r="G35" s="305">
        <f t="shared" si="2"/>
        <v>1.3021253388406049</v>
      </c>
      <c r="H35" s="303">
        <f t="shared" si="3"/>
        <v>823768</v>
      </c>
      <c r="I35" s="14">
        <v>2726577</v>
      </c>
      <c r="J35" s="302">
        <f t="shared" si="4"/>
        <v>3550345</v>
      </c>
      <c r="K35" s="303">
        <v>1183448</v>
      </c>
      <c r="L35" s="304">
        <f t="shared" si="5"/>
        <v>1183448.5</v>
      </c>
      <c r="M35" s="306">
        <f t="shared" si="6"/>
        <v>0.868083681480479</v>
      </c>
      <c r="N35" s="303">
        <f t="shared" si="7"/>
        <v>-359680</v>
      </c>
      <c r="O35" s="14">
        <v>2726577</v>
      </c>
      <c r="P35" s="303">
        <v>2366897</v>
      </c>
      <c r="Q35" s="302">
        <f t="shared" si="8"/>
        <v>16655872</v>
      </c>
      <c r="R35" s="303">
        <v>5551957</v>
      </c>
      <c r="S35" s="304">
        <f t="shared" si="9"/>
        <v>5551957.5</v>
      </c>
      <c r="T35" s="302">
        <f t="shared" si="10"/>
        <v>11103915</v>
      </c>
      <c r="U35" s="307">
        <f t="shared" si="11"/>
        <v>0.7273147966201612</v>
      </c>
      <c r="V35" s="308">
        <f t="shared" si="12"/>
        <v>-4163085</v>
      </c>
      <c r="W35" s="14">
        <v>15267000</v>
      </c>
      <c r="X35" s="28">
        <f t="shared" si="13"/>
        <v>11103915</v>
      </c>
      <c r="Y35" s="303">
        <v>10538086</v>
      </c>
      <c r="Z35" s="303">
        <v>565829</v>
      </c>
    </row>
    <row r="36" spans="1:26" ht="15.75">
      <c r="A36" s="238">
        <v>25</v>
      </c>
      <c r="B36" s="268" t="s">
        <v>377</v>
      </c>
      <c r="C36" s="302">
        <f t="shared" si="0"/>
        <v>48130</v>
      </c>
      <c r="D36" s="303">
        <v>16009</v>
      </c>
      <c r="E36" s="304">
        <f t="shared" si="1"/>
        <v>16060.5</v>
      </c>
      <c r="F36" s="303">
        <v>32121</v>
      </c>
      <c r="G36" s="305">
        <f t="shared" si="2"/>
        <v>1.1902681148111829</v>
      </c>
      <c r="H36" s="303">
        <f t="shared" si="3"/>
        <v>81688</v>
      </c>
      <c r="I36" s="14">
        <v>429331</v>
      </c>
      <c r="J36" s="302">
        <f t="shared" si="4"/>
        <v>511019</v>
      </c>
      <c r="K36" s="303">
        <v>171965</v>
      </c>
      <c r="L36" s="304">
        <f t="shared" si="5"/>
        <v>169527</v>
      </c>
      <c r="M36" s="306">
        <f t="shared" si="6"/>
        <v>0.7897263416804284</v>
      </c>
      <c r="N36" s="303">
        <f t="shared" si="7"/>
        <v>-90277</v>
      </c>
      <c r="O36" s="14">
        <v>429331</v>
      </c>
      <c r="P36" s="303">
        <v>339054</v>
      </c>
      <c r="Q36" s="302">
        <f t="shared" si="8"/>
        <v>2018233</v>
      </c>
      <c r="R36" s="303">
        <v>666138</v>
      </c>
      <c r="S36" s="304">
        <f t="shared" si="9"/>
        <v>676047.5</v>
      </c>
      <c r="T36" s="302">
        <f t="shared" si="10"/>
        <v>1352095</v>
      </c>
      <c r="U36" s="307">
        <f t="shared" si="11"/>
        <v>1.1239359933499584</v>
      </c>
      <c r="V36" s="308">
        <f t="shared" si="12"/>
        <v>149095</v>
      </c>
      <c r="W36" s="14">
        <v>1203000</v>
      </c>
      <c r="X36" s="28">
        <f t="shared" si="13"/>
        <v>1352095</v>
      </c>
      <c r="Y36" s="303">
        <v>867839</v>
      </c>
      <c r="Z36" s="303">
        <v>484256</v>
      </c>
    </row>
    <row r="37" spans="1:26" ht="15.75">
      <c r="A37" s="238">
        <v>26</v>
      </c>
      <c r="B37" s="268" t="s">
        <v>378</v>
      </c>
      <c r="C37" s="302">
        <f t="shared" si="0"/>
        <v>107538</v>
      </c>
      <c r="D37" s="303">
        <v>47532</v>
      </c>
      <c r="E37" s="304">
        <f t="shared" si="1"/>
        <v>30003</v>
      </c>
      <c r="F37" s="303">
        <v>60006</v>
      </c>
      <c r="G37" s="305">
        <f t="shared" si="2"/>
        <v>1.0500560397738703</v>
      </c>
      <c r="H37" s="303">
        <f t="shared" si="3"/>
        <v>24385</v>
      </c>
      <c r="I37" s="14">
        <v>487154</v>
      </c>
      <c r="J37" s="302">
        <f t="shared" si="4"/>
        <v>511539</v>
      </c>
      <c r="K37" s="303">
        <v>174219</v>
      </c>
      <c r="L37" s="304">
        <f t="shared" si="5"/>
        <v>168660</v>
      </c>
      <c r="M37" s="306">
        <f t="shared" si="6"/>
        <v>0.6924299092278827</v>
      </c>
      <c r="N37" s="303">
        <f t="shared" si="7"/>
        <v>-149834</v>
      </c>
      <c r="O37" s="14">
        <v>487154</v>
      </c>
      <c r="P37" s="303">
        <v>337320</v>
      </c>
      <c r="Q37" s="302">
        <f t="shared" si="8"/>
        <v>1639816</v>
      </c>
      <c r="R37" s="303">
        <v>590254</v>
      </c>
      <c r="S37" s="304">
        <f t="shared" si="9"/>
        <v>524781</v>
      </c>
      <c r="T37" s="302">
        <f t="shared" si="10"/>
        <v>1049562</v>
      </c>
      <c r="U37" s="307">
        <f t="shared" si="11"/>
        <v>0.7981460076045628</v>
      </c>
      <c r="V37" s="308">
        <f t="shared" si="12"/>
        <v>-265438</v>
      </c>
      <c r="W37" s="14">
        <v>1315000</v>
      </c>
      <c r="X37" s="28">
        <f t="shared" si="13"/>
        <v>1049562</v>
      </c>
      <c r="Y37" s="303">
        <v>844339</v>
      </c>
      <c r="Z37" s="303">
        <v>205223</v>
      </c>
    </row>
    <row r="38" spans="1:26" s="247" customFormat="1" ht="15.75">
      <c r="A38" s="238">
        <v>27</v>
      </c>
      <c r="B38" s="268" t="s">
        <v>379</v>
      </c>
      <c r="C38" s="302">
        <f t="shared" si="0"/>
        <v>31162</v>
      </c>
      <c r="D38" s="303">
        <v>11170</v>
      </c>
      <c r="E38" s="304">
        <f t="shared" si="1"/>
        <v>9996</v>
      </c>
      <c r="F38" s="303">
        <v>19992</v>
      </c>
      <c r="G38" s="305">
        <f t="shared" si="2"/>
        <v>0.8824272349844724</v>
      </c>
      <c r="H38" s="303">
        <f t="shared" si="3"/>
        <v>-170821</v>
      </c>
      <c r="I38" s="14">
        <v>1452896</v>
      </c>
      <c r="J38" s="302">
        <f t="shared" si="4"/>
        <v>1282075</v>
      </c>
      <c r="K38" s="303">
        <v>427265</v>
      </c>
      <c r="L38" s="304">
        <f t="shared" si="5"/>
        <v>427405</v>
      </c>
      <c r="M38" s="306">
        <f t="shared" si="6"/>
        <v>0.5883490628372574</v>
      </c>
      <c r="N38" s="303">
        <f t="shared" si="7"/>
        <v>-598086</v>
      </c>
      <c r="O38" s="14">
        <v>1452896</v>
      </c>
      <c r="P38" s="303">
        <v>854810</v>
      </c>
      <c r="Q38" s="302">
        <f t="shared" si="8"/>
        <v>6230230</v>
      </c>
      <c r="R38" s="303">
        <v>2491771</v>
      </c>
      <c r="S38" s="304">
        <f t="shared" si="9"/>
        <v>1869229.5</v>
      </c>
      <c r="T38" s="302">
        <f t="shared" si="10"/>
        <v>3738459</v>
      </c>
      <c r="U38" s="307">
        <f t="shared" si="11"/>
        <v>1.1438371483583913</v>
      </c>
      <c r="V38" s="308">
        <f t="shared" si="12"/>
        <v>470110</v>
      </c>
      <c r="W38" s="14">
        <v>3268349</v>
      </c>
      <c r="X38" s="28">
        <f t="shared" si="13"/>
        <v>3738459</v>
      </c>
      <c r="Y38" s="303">
        <v>3282000</v>
      </c>
      <c r="Z38" s="303">
        <v>456459</v>
      </c>
    </row>
    <row r="39" spans="1:26" ht="15.75">
      <c r="A39" s="238">
        <v>28</v>
      </c>
      <c r="B39" s="268" t="s">
        <v>380</v>
      </c>
      <c r="C39" s="302">
        <f t="shared" si="0"/>
        <v>19794</v>
      </c>
      <c r="D39" s="303">
        <v>6614</v>
      </c>
      <c r="E39" s="304">
        <f t="shared" si="1"/>
        <v>6590</v>
      </c>
      <c r="F39" s="303">
        <v>13180</v>
      </c>
      <c r="G39" s="305">
        <f t="shared" si="2"/>
        <v>1.527544574241715</v>
      </c>
      <c r="H39" s="303">
        <f t="shared" si="3"/>
        <v>158917</v>
      </c>
      <c r="I39" s="14">
        <v>301239</v>
      </c>
      <c r="J39" s="302">
        <f t="shared" si="4"/>
        <v>460156</v>
      </c>
      <c r="K39" s="303">
        <v>153386</v>
      </c>
      <c r="L39" s="304">
        <f t="shared" si="5"/>
        <v>153385</v>
      </c>
      <c r="M39" s="306">
        <f t="shared" si="6"/>
        <v>1.018360836412284</v>
      </c>
      <c r="N39" s="303">
        <f t="shared" si="7"/>
        <v>5531</v>
      </c>
      <c r="O39" s="14">
        <v>301239</v>
      </c>
      <c r="P39" s="303">
        <v>306770</v>
      </c>
      <c r="Q39" s="302">
        <f t="shared" si="8"/>
        <v>939026</v>
      </c>
      <c r="R39" s="303">
        <v>313010</v>
      </c>
      <c r="S39" s="304">
        <f t="shared" si="9"/>
        <v>313008</v>
      </c>
      <c r="T39" s="302">
        <f t="shared" si="10"/>
        <v>626016</v>
      </c>
      <c r="U39" s="307">
        <f t="shared" si="11"/>
        <v>1.5152122453128858</v>
      </c>
      <c r="V39" s="308">
        <f t="shared" si="12"/>
        <v>212862</v>
      </c>
      <c r="W39" s="14">
        <v>413154</v>
      </c>
      <c r="X39" s="28">
        <f t="shared" si="13"/>
        <v>626016</v>
      </c>
      <c r="Y39" s="303">
        <v>370228</v>
      </c>
      <c r="Z39" s="303">
        <v>255788</v>
      </c>
    </row>
    <row r="40" spans="1:26" ht="15.75">
      <c r="A40" s="238">
        <v>29</v>
      </c>
      <c r="B40" s="268" t="s">
        <v>541</v>
      </c>
      <c r="C40" s="302">
        <f t="shared" si="0"/>
        <v>7486</v>
      </c>
      <c r="D40" s="303">
        <v>2499</v>
      </c>
      <c r="E40" s="304">
        <f t="shared" si="1"/>
        <v>2493.5</v>
      </c>
      <c r="F40" s="303">
        <v>4987</v>
      </c>
      <c r="G40" s="305">
        <f t="shared" si="2"/>
        <v>1.5666311799527364</v>
      </c>
      <c r="H40" s="303">
        <f t="shared" si="3"/>
        <v>96869</v>
      </c>
      <c r="I40" s="28">
        <v>170956</v>
      </c>
      <c r="J40" s="302">
        <f t="shared" si="4"/>
        <v>267825</v>
      </c>
      <c r="K40" s="303">
        <v>89175</v>
      </c>
      <c r="L40" s="304">
        <f t="shared" si="5"/>
        <v>89325</v>
      </c>
      <c r="M40" s="306">
        <f t="shared" si="6"/>
        <v>1.0450057324691733</v>
      </c>
      <c r="N40" s="303">
        <f t="shared" si="7"/>
        <v>7694</v>
      </c>
      <c r="O40" s="28">
        <v>170956</v>
      </c>
      <c r="P40" s="303">
        <v>178650</v>
      </c>
      <c r="Q40" s="302">
        <f t="shared" si="8"/>
        <v>1420810</v>
      </c>
      <c r="R40" s="303">
        <v>473593</v>
      </c>
      <c r="S40" s="304">
        <f t="shared" si="9"/>
        <v>473608.5</v>
      </c>
      <c r="T40" s="302">
        <f t="shared" si="10"/>
        <v>947217</v>
      </c>
      <c r="U40" s="307">
        <f t="shared" si="11"/>
        <v>1.2601768898988097</v>
      </c>
      <c r="V40" s="308">
        <f t="shared" si="12"/>
        <v>195563</v>
      </c>
      <c r="W40" s="28">
        <v>751654</v>
      </c>
      <c r="X40" s="28">
        <f t="shared" si="13"/>
        <v>947217</v>
      </c>
      <c r="Y40" s="303">
        <v>727420</v>
      </c>
      <c r="Z40" s="303">
        <v>219797</v>
      </c>
    </row>
    <row r="41" spans="1:26" ht="15.75">
      <c r="A41" s="238">
        <v>30</v>
      </c>
      <c r="B41" s="268" t="s">
        <v>382</v>
      </c>
      <c r="C41" s="302">
        <f t="shared" si="0"/>
        <v>15418</v>
      </c>
      <c r="D41" s="303">
        <v>4665</v>
      </c>
      <c r="E41" s="304">
        <f t="shared" si="1"/>
        <v>5376.5</v>
      </c>
      <c r="F41" s="303">
        <v>10753</v>
      </c>
      <c r="G41" s="305">
        <f t="shared" si="2"/>
        <v>1.67088783231273</v>
      </c>
      <c r="H41" s="303">
        <f t="shared" si="3"/>
        <v>217581</v>
      </c>
      <c r="I41" s="14">
        <v>324318</v>
      </c>
      <c r="J41" s="302">
        <f t="shared" si="4"/>
        <v>541899</v>
      </c>
      <c r="K41" s="303">
        <v>176701</v>
      </c>
      <c r="L41" s="304">
        <f t="shared" si="5"/>
        <v>182599</v>
      </c>
      <c r="M41" s="306">
        <f t="shared" si="6"/>
        <v>1.126049124624597</v>
      </c>
      <c r="N41" s="303">
        <f t="shared" si="7"/>
        <v>40880</v>
      </c>
      <c r="O41" s="14">
        <v>324318</v>
      </c>
      <c r="P41" s="303">
        <v>365198</v>
      </c>
      <c r="Q41" s="302">
        <f t="shared" si="8"/>
        <v>1338008</v>
      </c>
      <c r="R41" s="303">
        <v>430821</v>
      </c>
      <c r="S41" s="304">
        <f t="shared" si="9"/>
        <v>453593.5</v>
      </c>
      <c r="T41" s="302">
        <f t="shared" si="10"/>
        <v>907187</v>
      </c>
      <c r="U41" s="307">
        <f t="shared" si="11"/>
        <v>1.1079442893397915</v>
      </c>
      <c r="V41" s="308">
        <f t="shared" si="12"/>
        <v>88385</v>
      </c>
      <c r="W41" s="14">
        <v>818802</v>
      </c>
      <c r="X41" s="28">
        <f t="shared" si="13"/>
        <v>907187</v>
      </c>
      <c r="Y41" s="303">
        <v>839999</v>
      </c>
      <c r="Z41" s="303">
        <v>67188</v>
      </c>
    </row>
    <row r="42" spans="1:26" ht="15.75">
      <c r="A42" s="238">
        <v>31</v>
      </c>
      <c r="B42" s="268" t="s">
        <v>542</v>
      </c>
      <c r="C42" s="302">
        <f t="shared" si="0"/>
        <v>16640</v>
      </c>
      <c r="D42" s="303">
        <v>5555</v>
      </c>
      <c r="E42" s="304">
        <f t="shared" si="1"/>
        <v>5542.5</v>
      </c>
      <c r="F42" s="303">
        <v>11085</v>
      </c>
      <c r="G42" s="305">
        <f t="shared" si="2"/>
        <v>0.9230431854137623</v>
      </c>
      <c r="H42" s="303">
        <f t="shared" si="3"/>
        <v>-34391</v>
      </c>
      <c r="I42" s="14">
        <v>446887</v>
      </c>
      <c r="J42" s="302">
        <f t="shared" si="4"/>
        <v>412496</v>
      </c>
      <c r="K42" s="303">
        <v>127975</v>
      </c>
      <c r="L42" s="304">
        <f t="shared" si="5"/>
        <v>142260.5</v>
      </c>
      <c r="M42" s="306">
        <f t="shared" si="6"/>
        <v>0.6366732529699902</v>
      </c>
      <c r="N42" s="303">
        <f t="shared" si="7"/>
        <v>-162366</v>
      </c>
      <c r="O42" s="14">
        <v>446887</v>
      </c>
      <c r="P42" s="303">
        <v>284521</v>
      </c>
      <c r="Q42" s="302">
        <f t="shared" si="8"/>
        <v>2800078</v>
      </c>
      <c r="R42" s="303">
        <v>859703</v>
      </c>
      <c r="S42" s="304">
        <f t="shared" si="9"/>
        <v>970187.5</v>
      </c>
      <c r="T42" s="302">
        <f t="shared" si="10"/>
        <v>1940375</v>
      </c>
      <c r="U42" s="307">
        <f t="shared" si="11"/>
        <v>0.3919829128479287</v>
      </c>
      <c r="V42" s="308">
        <f t="shared" si="12"/>
        <v>-3009777</v>
      </c>
      <c r="W42" s="14">
        <v>4950152</v>
      </c>
      <c r="X42" s="28">
        <f t="shared" si="13"/>
        <v>1940375</v>
      </c>
      <c r="Y42" s="303">
        <v>1573573</v>
      </c>
      <c r="Z42" s="303">
        <v>366802</v>
      </c>
    </row>
    <row r="43" spans="1:26" ht="15.75">
      <c r="A43" s="238">
        <v>32</v>
      </c>
      <c r="B43" s="268" t="s">
        <v>384</v>
      </c>
      <c r="C43" s="302">
        <f t="shared" si="0"/>
        <v>39712.5</v>
      </c>
      <c r="D43" s="303">
        <v>13237.5</v>
      </c>
      <c r="E43" s="304">
        <f t="shared" si="1"/>
        <v>13237.5</v>
      </c>
      <c r="F43" s="303">
        <v>26475</v>
      </c>
      <c r="G43" s="305">
        <f t="shared" si="2"/>
        <v>1.3047204259230125</v>
      </c>
      <c r="H43" s="303">
        <f t="shared" si="3"/>
        <v>73604</v>
      </c>
      <c r="I43" s="14">
        <v>241546</v>
      </c>
      <c r="J43" s="302">
        <f t="shared" si="4"/>
        <v>315150</v>
      </c>
      <c r="K43" s="303">
        <v>105050</v>
      </c>
      <c r="L43" s="304">
        <f t="shared" si="5"/>
        <v>105050</v>
      </c>
      <c r="M43" s="306">
        <f t="shared" si="6"/>
        <v>0.8698136172820083</v>
      </c>
      <c r="N43" s="303">
        <f t="shared" si="7"/>
        <v>-31446</v>
      </c>
      <c r="O43" s="14">
        <v>241546</v>
      </c>
      <c r="P43" s="303">
        <v>210100</v>
      </c>
      <c r="Q43" s="302">
        <f t="shared" si="8"/>
        <v>3159813</v>
      </c>
      <c r="R43" s="303">
        <v>1053271</v>
      </c>
      <c r="S43" s="304">
        <f t="shared" si="9"/>
        <v>1053271</v>
      </c>
      <c r="T43" s="302">
        <f t="shared" si="10"/>
        <v>2106542</v>
      </c>
      <c r="U43" s="307">
        <f t="shared" si="11"/>
        <v>1.481786662146012</v>
      </c>
      <c r="V43" s="308">
        <f t="shared" si="12"/>
        <v>684919</v>
      </c>
      <c r="W43" s="14">
        <v>1421623</v>
      </c>
      <c r="X43" s="28">
        <f t="shared" si="13"/>
        <v>2106542</v>
      </c>
      <c r="Y43" s="303">
        <v>1045780</v>
      </c>
      <c r="Z43" s="303">
        <v>1060762</v>
      </c>
    </row>
    <row r="44" spans="1:26" ht="15.75">
      <c r="A44" s="238">
        <v>33</v>
      </c>
      <c r="B44" s="268" t="s">
        <v>385</v>
      </c>
      <c r="C44" s="302">
        <f aca="true" t="shared" si="14" ref="C44:C74">D44+F44</f>
        <v>7517</v>
      </c>
      <c r="D44" s="303">
        <v>2507</v>
      </c>
      <c r="E44" s="304">
        <f aca="true" t="shared" si="15" ref="E44:E74">(F44/4)*2</f>
        <v>2505</v>
      </c>
      <c r="F44" s="303">
        <v>5010</v>
      </c>
      <c r="G44" s="305">
        <f aca="true" t="shared" si="16" ref="G44:G74">J44/I44</f>
        <v>0.9899106296893806</v>
      </c>
      <c r="H44" s="303">
        <f aca="true" t="shared" si="17" ref="H44:H74">J44-I44</f>
        <v>-1182</v>
      </c>
      <c r="I44" s="14">
        <v>117153</v>
      </c>
      <c r="J44" s="302">
        <f t="shared" si="4"/>
        <v>115971</v>
      </c>
      <c r="K44" s="303">
        <v>38621</v>
      </c>
      <c r="L44" s="304">
        <f t="shared" si="5"/>
        <v>38675</v>
      </c>
      <c r="M44" s="306">
        <f t="shared" si="6"/>
        <v>0.6602477102592337</v>
      </c>
      <c r="N44" s="303">
        <f t="shared" si="7"/>
        <v>-39803</v>
      </c>
      <c r="O44" s="14">
        <v>117153</v>
      </c>
      <c r="P44" s="303">
        <v>77350</v>
      </c>
      <c r="Q44" s="302">
        <f aca="true" t="shared" si="18" ref="Q44:Q74">R44+T44</f>
        <v>1186138.3</v>
      </c>
      <c r="R44" s="303">
        <v>395412.5</v>
      </c>
      <c r="S44" s="304">
        <f aca="true" t="shared" si="19" ref="S44:S74">(T44/4)*2</f>
        <v>395362.9</v>
      </c>
      <c r="T44" s="302">
        <f aca="true" t="shared" si="20" ref="T44:T74">Y44+Z44</f>
        <v>790725.8</v>
      </c>
      <c r="U44" s="307">
        <f aca="true" t="shared" si="21" ref="U44:U74">X44/W44</f>
        <v>0.9450834435914629</v>
      </c>
      <c r="V44" s="308">
        <f aca="true" t="shared" si="22" ref="V44:V74">X44-W44</f>
        <v>-45947.19999999995</v>
      </c>
      <c r="W44" s="14">
        <v>836673</v>
      </c>
      <c r="X44" s="28">
        <f aca="true" t="shared" si="23" ref="X44:X74">Y44+Z44</f>
        <v>790725.8</v>
      </c>
      <c r="Y44" s="303">
        <v>488354.5</v>
      </c>
      <c r="Z44" s="303">
        <v>302371.3</v>
      </c>
    </row>
    <row r="45" spans="1:26" ht="15.75">
      <c r="A45" s="238">
        <v>34</v>
      </c>
      <c r="B45" s="268" t="s">
        <v>386</v>
      </c>
      <c r="C45" s="302">
        <f t="shared" si="14"/>
        <v>3945</v>
      </c>
      <c r="D45" s="303">
        <v>1315</v>
      </c>
      <c r="E45" s="304">
        <f t="shared" si="15"/>
        <v>1315</v>
      </c>
      <c r="F45" s="303">
        <v>2630</v>
      </c>
      <c r="G45" s="305">
        <f t="shared" si="16"/>
        <v>0</v>
      </c>
      <c r="H45" s="303">
        <f t="shared" si="17"/>
        <v>-102521</v>
      </c>
      <c r="I45" s="28">
        <v>102521</v>
      </c>
      <c r="J45" s="309"/>
      <c r="K45" s="311"/>
      <c r="L45" s="311"/>
      <c r="M45" s="316"/>
      <c r="N45" s="311"/>
      <c r="O45" s="314"/>
      <c r="P45" s="311"/>
      <c r="Q45" s="302">
        <f t="shared" si="18"/>
        <v>71216</v>
      </c>
      <c r="R45" s="303">
        <v>23739</v>
      </c>
      <c r="S45" s="304">
        <f t="shared" si="19"/>
        <v>23738.5</v>
      </c>
      <c r="T45" s="302">
        <f t="shared" si="20"/>
        <v>47477</v>
      </c>
      <c r="U45" s="307">
        <f t="shared" si="21"/>
        <v>0.20182195356271415</v>
      </c>
      <c r="V45" s="308">
        <f t="shared" si="22"/>
        <v>-187765</v>
      </c>
      <c r="W45" s="28">
        <v>235242</v>
      </c>
      <c r="X45" s="28">
        <f t="shared" si="23"/>
        <v>47477</v>
      </c>
      <c r="Y45" s="311"/>
      <c r="Z45" s="303">
        <v>47477</v>
      </c>
    </row>
    <row r="46" spans="1:26" s="247" customFormat="1" ht="15.75">
      <c r="A46" s="238">
        <v>35</v>
      </c>
      <c r="B46" s="268" t="s">
        <v>387</v>
      </c>
      <c r="C46" s="302">
        <f t="shared" si="14"/>
        <v>25230</v>
      </c>
      <c r="D46" s="303">
        <v>8369</v>
      </c>
      <c r="E46" s="304">
        <f t="shared" si="15"/>
        <v>8430.5</v>
      </c>
      <c r="F46" s="303">
        <v>16861</v>
      </c>
      <c r="G46" s="305" t="e">
        <f t="shared" si="16"/>
        <v>#DIV/0!</v>
      </c>
      <c r="H46" s="303">
        <f t="shared" si="17"/>
        <v>378759</v>
      </c>
      <c r="I46" s="14"/>
      <c r="J46" s="302">
        <f aca="true" t="shared" si="24" ref="J46:J74">K46+P46</f>
        <v>378759</v>
      </c>
      <c r="K46" s="303">
        <v>126254</v>
      </c>
      <c r="L46" s="304">
        <f aca="true" t="shared" si="25" ref="L46:L74">(P46/4)*2</f>
        <v>126252.5</v>
      </c>
      <c r="M46" s="306" t="e">
        <f aca="true" t="shared" si="26" ref="M46:M74">P46/O46</f>
        <v>#DIV/0!</v>
      </c>
      <c r="N46" s="303">
        <f aca="true" t="shared" si="27" ref="N46:N74">P46-O46</f>
        <v>252505</v>
      </c>
      <c r="O46" s="14"/>
      <c r="P46" s="303">
        <v>252505</v>
      </c>
      <c r="Q46" s="302">
        <f t="shared" si="18"/>
        <v>3421024</v>
      </c>
      <c r="R46" s="303">
        <v>1138296</v>
      </c>
      <c r="S46" s="304">
        <f t="shared" si="19"/>
        <v>1141364</v>
      </c>
      <c r="T46" s="302">
        <f t="shared" si="20"/>
        <v>2282728</v>
      </c>
      <c r="U46" s="307" t="e">
        <f t="shared" si="21"/>
        <v>#DIV/0!</v>
      </c>
      <c r="V46" s="308">
        <f t="shared" si="22"/>
        <v>2282728</v>
      </c>
      <c r="W46" s="14">
        <v>0</v>
      </c>
      <c r="X46" s="28">
        <f t="shared" si="23"/>
        <v>2282728</v>
      </c>
      <c r="Y46" s="303">
        <v>1497883</v>
      </c>
      <c r="Z46" s="303">
        <v>784845</v>
      </c>
    </row>
    <row r="47" spans="1:26" ht="15.75">
      <c r="A47" s="238">
        <v>36</v>
      </c>
      <c r="B47" s="268" t="s">
        <v>388</v>
      </c>
      <c r="C47" s="302">
        <f t="shared" si="14"/>
        <v>7841</v>
      </c>
      <c r="D47" s="303">
        <v>2615</v>
      </c>
      <c r="E47" s="304">
        <f t="shared" si="15"/>
        <v>2613</v>
      </c>
      <c r="F47" s="303">
        <v>5226</v>
      </c>
      <c r="G47" s="305">
        <f t="shared" si="16"/>
        <v>0.9681576137683738</v>
      </c>
      <c r="H47" s="303">
        <f t="shared" si="17"/>
        <v>-4742</v>
      </c>
      <c r="I47" s="28">
        <v>148921</v>
      </c>
      <c r="J47" s="302">
        <f t="shared" si="24"/>
        <v>144179</v>
      </c>
      <c r="K47" s="303">
        <v>48118</v>
      </c>
      <c r="L47" s="304">
        <f t="shared" si="25"/>
        <v>48030.5</v>
      </c>
      <c r="M47" s="306">
        <f t="shared" si="26"/>
        <v>0.6450467026141377</v>
      </c>
      <c r="N47" s="303">
        <f t="shared" si="27"/>
        <v>-52860</v>
      </c>
      <c r="O47" s="28">
        <v>148921</v>
      </c>
      <c r="P47" s="303">
        <v>96061</v>
      </c>
      <c r="Q47" s="302">
        <f t="shared" si="18"/>
        <v>824562</v>
      </c>
      <c r="R47" s="303">
        <v>275332</v>
      </c>
      <c r="S47" s="304">
        <f t="shared" si="19"/>
        <v>274615</v>
      </c>
      <c r="T47" s="302">
        <f t="shared" si="20"/>
        <v>549230</v>
      </c>
      <c r="U47" s="307">
        <f t="shared" si="21"/>
        <v>0.9471115709605105</v>
      </c>
      <c r="V47" s="308">
        <f t="shared" si="22"/>
        <v>-30670</v>
      </c>
      <c r="W47" s="28">
        <v>579900</v>
      </c>
      <c r="X47" s="28">
        <f t="shared" si="23"/>
        <v>549230</v>
      </c>
      <c r="Y47" s="303">
        <v>407647</v>
      </c>
      <c r="Z47" s="303">
        <v>141583</v>
      </c>
    </row>
    <row r="48" spans="1:26" ht="15.75">
      <c r="A48" s="238">
        <v>37</v>
      </c>
      <c r="B48" s="268" t="s">
        <v>389</v>
      </c>
      <c r="C48" s="302">
        <f t="shared" si="14"/>
        <v>455</v>
      </c>
      <c r="D48" s="303">
        <v>152</v>
      </c>
      <c r="E48" s="304">
        <f t="shared" si="15"/>
        <v>151.5</v>
      </c>
      <c r="F48" s="303">
        <v>303</v>
      </c>
      <c r="G48" s="305">
        <f t="shared" si="16"/>
        <v>0.34712356633121366</v>
      </c>
      <c r="H48" s="303">
        <f t="shared" si="17"/>
        <v>-78953</v>
      </c>
      <c r="I48" s="28">
        <v>120931</v>
      </c>
      <c r="J48" s="302">
        <f t="shared" si="24"/>
        <v>41978</v>
      </c>
      <c r="K48" s="303">
        <v>13993</v>
      </c>
      <c r="L48" s="304">
        <f t="shared" si="25"/>
        <v>13992.5</v>
      </c>
      <c r="M48" s="306">
        <f t="shared" si="26"/>
        <v>0.23141295449471186</v>
      </c>
      <c r="N48" s="303">
        <f t="shared" si="27"/>
        <v>-92946</v>
      </c>
      <c r="O48" s="28">
        <v>120931</v>
      </c>
      <c r="P48" s="303">
        <v>27985</v>
      </c>
      <c r="Q48" s="302">
        <f t="shared" si="18"/>
        <v>92805</v>
      </c>
      <c r="R48" s="303">
        <v>1519</v>
      </c>
      <c r="S48" s="304">
        <f t="shared" si="19"/>
        <v>45643</v>
      </c>
      <c r="T48" s="302">
        <f t="shared" si="20"/>
        <v>91286</v>
      </c>
      <c r="U48" s="307">
        <f t="shared" si="21"/>
        <v>0.32434641103444356</v>
      </c>
      <c r="V48" s="308">
        <f t="shared" si="22"/>
        <v>-190160</v>
      </c>
      <c r="W48" s="28">
        <v>281446</v>
      </c>
      <c r="X48" s="28">
        <f t="shared" si="23"/>
        <v>91286</v>
      </c>
      <c r="Y48" s="303">
        <v>88256</v>
      </c>
      <c r="Z48" s="303">
        <v>3030</v>
      </c>
    </row>
    <row r="49" spans="1:26" ht="15.75">
      <c r="A49" s="238">
        <v>38</v>
      </c>
      <c r="B49" s="268" t="s">
        <v>390</v>
      </c>
      <c r="C49" s="302">
        <f t="shared" si="14"/>
        <v>21578</v>
      </c>
      <c r="D49" s="303">
        <v>7180</v>
      </c>
      <c r="E49" s="304">
        <f t="shared" si="15"/>
        <v>7199</v>
      </c>
      <c r="F49" s="303">
        <v>14398</v>
      </c>
      <c r="G49" s="305">
        <f t="shared" si="16"/>
        <v>2.0990357884728668</v>
      </c>
      <c r="H49" s="303">
        <f t="shared" si="17"/>
        <v>319038</v>
      </c>
      <c r="I49" s="28">
        <v>290289</v>
      </c>
      <c r="J49" s="302">
        <f t="shared" si="24"/>
        <v>609327</v>
      </c>
      <c r="K49" s="303">
        <v>196232</v>
      </c>
      <c r="L49" s="304">
        <f t="shared" si="25"/>
        <v>206547.5</v>
      </c>
      <c r="M49" s="306">
        <f t="shared" si="26"/>
        <v>1.4230473769243754</v>
      </c>
      <c r="N49" s="303">
        <f t="shared" si="27"/>
        <v>122806</v>
      </c>
      <c r="O49" s="28">
        <v>290289</v>
      </c>
      <c r="P49" s="303">
        <v>413095</v>
      </c>
      <c r="Q49" s="302">
        <f t="shared" si="18"/>
        <v>2801737</v>
      </c>
      <c r="R49" s="303">
        <v>901775</v>
      </c>
      <c r="S49" s="304">
        <f t="shared" si="19"/>
        <v>949981</v>
      </c>
      <c r="T49" s="302">
        <f t="shared" si="20"/>
        <v>1899962</v>
      </c>
      <c r="U49" s="307">
        <f t="shared" si="21"/>
        <v>0.9750440189860263</v>
      </c>
      <c r="V49" s="308">
        <f t="shared" si="22"/>
        <v>-48629</v>
      </c>
      <c r="W49" s="28">
        <v>1948591</v>
      </c>
      <c r="X49" s="28">
        <f t="shared" si="23"/>
        <v>1899962</v>
      </c>
      <c r="Y49" s="303">
        <v>1498233</v>
      </c>
      <c r="Z49" s="303">
        <v>401729</v>
      </c>
    </row>
    <row r="50" spans="1:26" ht="15.75">
      <c r="A50" s="238">
        <v>39</v>
      </c>
      <c r="B50" s="268" t="s">
        <v>391</v>
      </c>
      <c r="C50" s="302">
        <f t="shared" si="14"/>
        <v>29343</v>
      </c>
      <c r="D50" s="303">
        <v>9783</v>
      </c>
      <c r="E50" s="304">
        <f t="shared" si="15"/>
        <v>9780</v>
      </c>
      <c r="F50" s="303">
        <v>19560</v>
      </c>
      <c r="G50" s="305">
        <f t="shared" si="16"/>
        <v>0.8066845579898321</v>
      </c>
      <c r="H50" s="303">
        <f t="shared" si="17"/>
        <v>-84567</v>
      </c>
      <c r="I50" s="28">
        <v>437456</v>
      </c>
      <c r="J50" s="302">
        <f t="shared" si="24"/>
        <v>352889</v>
      </c>
      <c r="K50" s="303">
        <v>117630</v>
      </c>
      <c r="L50" s="304">
        <f t="shared" si="25"/>
        <v>117629.5</v>
      </c>
      <c r="M50" s="306">
        <f t="shared" si="26"/>
        <v>0.5377889433451593</v>
      </c>
      <c r="N50" s="303">
        <f t="shared" si="27"/>
        <v>-202197</v>
      </c>
      <c r="O50" s="28">
        <v>437456</v>
      </c>
      <c r="P50" s="303">
        <v>235259</v>
      </c>
      <c r="Q50" s="302">
        <f t="shared" si="18"/>
        <v>1814510</v>
      </c>
      <c r="R50" s="303">
        <v>604837</v>
      </c>
      <c r="S50" s="304">
        <f t="shared" si="19"/>
        <v>604836.5</v>
      </c>
      <c r="T50" s="302">
        <f t="shared" si="20"/>
        <v>1209673</v>
      </c>
      <c r="U50" s="307">
        <f t="shared" si="21"/>
        <v>0.7221928358208956</v>
      </c>
      <c r="V50" s="308">
        <f t="shared" si="22"/>
        <v>-465327</v>
      </c>
      <c r="W50" s="28">
        <v>1675000</v>
      </c>
      <c r="X50" s="28">
        <f t="shared" si="23"/>
        <v>1209673</v>
      </c>
      <c r="Y50" s="303">
        <v>870609</v>
      </c>
      <c r="Z50" s="303">
        <v>339064</v>
      </c>
    </row>
    <row r="51" spans="1:27" ht="15.75">
      <c r="A51" s="238">
        <v>40</v>
      </c>
      <c r="B51" s="268" t="s">
        <v>392</v>
      </c>
      <c r="C51" s="302">
        <f t="shared" si="14"/>
        <v>86170</v>
      </c>
      <c r="D51" s="303">
        <v>29622</v>
      </c>
      <c r="E51" s="304">
        <f t="shared" si="15"/>
        <v>28274</v>
      </c>
      <c r="F51" s="303">
        <v>56548</v>
      </c>
      <c r="G51" s="305">
        <f t="shared" si="16"/>
        <v>3.6841586688259764</v>
      </c>
      <c r="H51" s="303">
        <f t="shared" si="17"/>
        <v>2920370</v>
      </c>
      <c r="I51" s="28">
        <v>1088002</v>
      </c>
      <c r="J51" s="309">
        <f>K51+P51</f>
        <v>4008372</v>
      </c>
      <c r="K51" s="303">
        <v>701277</v>
      </c>
      <c r="L51" s="304">
        <f t="shared" si="25"/>
        <v>1653547.5</v>
      </c>
      <c r="M51" s="306">
        <f t="shared" si="26"/>
        <v>3.0396037874930375</v>
      </c>
      <c r="N51" s="303">
        <f t="shared" si="27"/>
        <v>2219093</v>
      </c>
      <c r="O51" s="28">
        <v>1088002</v>
      </c>
      <c r="P51" s="311">
        <v>3307095</v>
      </c>
      <c r="Q51" s="302">
        <f t="shared" si="18"/>
        <v>3580535</v>
      </c>
      <c r="R51" s="303">
        <v>1413427</v>
      </c>
      <c r="S51" s="304">
        <f t="shared" si="19"/>
        <v>1083554</v>
      </c>
      <c r="T51" s="302">
        <f t="shared" si="20"/>
        <v>2167108</v>
      </c>
      <c r="U51" s="307">
        <f t="shared" si="21"/>
        <v>0.8566531395741377</v>
      </c>
      <c r="V51" s="308">
        <f t="shared" si="22"/>
        <v>-362630</v>
      </c>
      <c r="W51" s="28">
        <v>2529738</v>
      </c>
      <c r="X51" s="28">
        <f t="shared" si="23"/>
        <v>2167108</v>
      </c>
      <c r="Y51" s="303">
        <v>1618887</v>
      </c>
      <c r="Z51" s="303">
        <v>548221</v>
      </c>
      <c r="AA51" t="s">
        <v>651</v>
      </c>
    </row>
    <row r="52" spans="1:26" ht="15.75">
      <c r="A52" s="238">
        <v>41</v>
      </c>
      <c r="B52" s="268" t="s">
        <v>545</v>
      </c>
      <c r="C52" s="302">
        <f t="shared" si="14"/>
        <v>19120</v>
      </c>
      <c r="D52" s="303">
        <v>6171</v>
      </c>
      <c r="E52" s="304">
        <f t="shared" si="15"/>
        <v>6474.5</v>
      </c>
      <c r="F52" s="303">
        <v>12949</v>
      </c>
      <c r="G52" s="305">
        <f t="shared" si="16"/>
        <v>1.5660045626392118</v>
      </c>
      <c r="H52" s="303">
        <f t="shared" si="17"/>
        <v>104948</v>
      </c>
      <c r="I52" s="28">
        <v>185419</v>
      </c>
      <c r="J52" s="302">
        <f t="shared" si="24"/>
        <v>290367</v>
      </c>
      <c r="K52" s="303">
        <v>105353</v>
      </c>
      <c r="L52" s="304">
        <f t="shared" si="25"/>
        <v>92507</v>
      </c>
      <c r="M52" s="306">
        <f t="shared" si="26"/>
        <v>0.9978157578241712</v>
      </c>
      <c r="N52" s="303">
        <f t="shared" si="27"/>
        <v>-405</v>
      </c>
      <c r="O52" s="28">
        <v>185419</v>
      </c>
      <c r="P52" s="303">
        <v>185014</v>
      </c>
      <c r="Q52" s="302">
        <f t="shared" si="18"/>
        <v>1880279</v>
      </c>
      <c r="R52" s="303">
        <v>622540</v>
      </c>
      <c r="S52" s="304">
        <f t="shared" si="19"/>
        <v>628869.5</v>
      </c>
      <c r="T52" s="302">
        <f t="shared" si="20"/>
        <v>1257739</v>
      </c>
      <c r="U52" s="307">
        <f t="shared" si="21"/>
        <v>1.449276882002307</v>
      </c>
      <c r="V52" s="308">
        <f t="shared" si="22"/>
        <v>389900</v>
      </c>
      <c r="W52" s="28">
        <v>867839</v>
      </c>
      <c r="X52" s="28">
        <f t="shared" si="23"/>
        <v>1257739</v>
      </c>
      <c r="Y52" s="303">
        <v>661047</v>
      </c>
      <c r="Z52" s="303">
        <v>596692</v>
      </c>
    </row>
    <row r="53" spans="1:26" ht="15.75">
      <c r="A53" s="238">
        <v>42</v>
      </c>
      <c r="B53" s="268" t="s">
        <v>394</v>
      </c>
      <c r="C53" s="302">
        <f t="shared" si="14"/>
        <v>2435</v>
      </c>
      <c r="D53" s="303">
        <v>812</v>
      </c>
      <c r="E53" s="304">
        <f t="shared" si="15"/>
        <v>811.5</v>
      </c>
      <c r="F53" s="303">
        <v>1623</v>
      </c>
      <c r="G53" s="305">
        <f t="shared" si="16"/>
        <v>1.178788274940445</v>
      </c>
      <c r="H53" s="303">
        <f t="shared" si="17"/>
        <v>24617</v>
      </c>
      <c r="I53" s="28">
        <v>137688</v>
      </c>
      <c r="J53" s="302">
        <f t="shared" si="24"/>
        <v>162305</v>
      </c>
      <c r="K53" s="303">
        <v>54102</v>
      </c>
      <c r="L53" s="304">
        <f t="shared" si="25"/>
        <v>54101.5</v>
      </c>
      <c r="M53" s="306">
        <f t="shared" si="26"/>
        <v>0.7858564290279473</v>
      </c>
      <c r="N53" s="303">
        <f t="shared" si="27"/>
        <v>-29485</v>
      </c>
      <c r="O53" s="28">
        <v>137688</v>
      </c>
      <c r="P53" s="303">
        <v>108203</v>
      </c>
      <c r="Q53" s="302">
        <f t="shared" si="18"/>
        <v>473638</v>
      </c>
      <c r="R53" s="303">
        <v>157880</v>
      </c>
      <c r="S53" s="304">
        <f t="shared" si="19"/>
        <v>157879</v>
      </c>
      <c r="T53" s="302">
        <f t="shared" si="20"/>
        <v>315758</v>
      </c>
      <c r="U53" s="307">
        <f t="shared" si="21"/>
        <v>0.5578763250883392</v>
      </c>
      <c r="V53" s="308">
        <f t="shared" si="22"/>
        <v>-250242</v>
      </c>
      <c r="W53" s="28">
        <v>566000</v>
      </c>
      <c r="X53" s="28">
        <f t="shared" si="23"/>
        <v>315758</v>
      </c>
      <c r="Y53" s="303">
        <v>299956</v>
      </c>
      <c r="Z53" s="303">
        <v>15802</v>
      </c>
    </row>
    <row r="54" spans="1:26" ht="15.75">
      <c r="A54" s="238">
        <v>43</v>
      </c>
      <c r="B54" s="268" t="s">
        <v>395</v>
      </c>
      <c r="C54" s="302">
        <f t="shared" si="14"/>
        <v>30429</v>
      </c>
      <c r="D54" s="303">
        <v>10142</v>
      </c>
      <c r="E54" s="304">
        <f t="shared" si="15"/>
        <v>10143.5</v>
      </c>
      <c r="F54" s="303">
        <v>20287</v>
      </c>
      <c r="G54" s="305">
        <f t="shared" si="16"/>
        <v>1.2929744984163705</v>
      </c>
      <c r="H54" s="303">
        <f t="shared" si="17"/>
        <v>48378</v>
      </c>
      <c r="I54" s="28">
        <v>165127</v>
      </c>
      <c r="J54" s="302">
        <f t="shared" si="24"/>
        <v>213505</v>
      </c>
      <c r="K54" s="303">
        <v>71168</v>
      </c>
      <c r="L54" s="304">
        <f t="shared" si="25"/>
        <v>71168.5</v>
      </c>
      <c r="M54" s="306">
        <f t="shared" si="26"/>
        <v>0.8619850175925197</v>
      </c>
      <c r="N54" s="303">
        <f t="shared" si="27"/>
        <v>-22790</v>
      </c>
      <c r="O54" s="28">
        <v>165127</v>
      </c>
      <c r="P54" s="303">
        <v>142337</v>
      </c>
      <c r="Q54" s="302">
        <f t="shared" si="18"/>
        <v>1888870</v>
      </c>
      <c r="R54" s="303">
        <v>629503</v>
      </c>
      <c r="S54" s="304">
        <f t="shared" si="19"/>
        <v>629683.5</v>
      </c>
      <c r="T54" s="302">
        <f t="shared" si="20"/>
        <v>1259367</v>
      </c>
      <c r="U54" s="307">
        <f t="shared" si="21"/>
        <v>1.0260235859624824</v>
      </c>
      <c r="V54" s="308">
        <f t="shared" si="22"/>
        <v>31942</v>
      </c>
      <c r="W54" s="28">
        <v>1227425</v>
      </c>
      <c r="X54" s="28">
        <f t="shared" si="23"/>
        <v>1259367</v>
      </c>
      <c r="Y54" s="303">
        <v>979646</v>
      </c>
      <c r="Z54" s="303">
        <v>279721</v>
      </c>
    </row>
    <row r="55" spans="1:33" ht="16.5">
      <c r="A55" s="238">
        <v>44</v>
      </c>
      <c r="B55" s="268" t="s">
        <v>396</v>
      </c>
      <c r="C55" s="302">
        <f t="shared" si="14"/>
        <v>4508</v>
      </c>
      <c r="D55" s="303">
        <v>1225</v>
      </c>
      <c r="E55" s="304">
        <f t="shared" si="15"/>
        <v>1641.5</v>
      </c>
      <c r="F55" s="303">
        <v>3283</v>
      </c>
      <c r="G55" s="305">
        <f t="shared" si="16"/>
        <v>0.08546060020763038</v>
      </c>
      <c r="H55" s="303">
        <f t="shared" si="17"/>
        <v>-1161947</v>
      </c>
      <c r="I55" s="28">
        <v>1270527</v>
      </c>
      <c r="J55" s="302">
        <f t="shared" si="24"/>
        <v>108580</v>
      </c>
      <c r="K55" s="303">
        <v>32691</v>
      </c>
      <c r="L55" s="304">
        <f t="shared" si="25"/>
        <v>37944.5</v>
      </c>
      <c r="M55" s="306">
        <f t="shared" si="26"/>
        <v>0.059730332373888945</v>
      </c>
      <c r="N55" s="303">
        <f t="shared" si="27"/>
        <v>-1194638</v>
      </c>
      <c r="O55" s="28">
        <v>1270527</v>
      </c>
      <c r="P55" s="311">
        <v>75889</v>
      </c>
      <c r="Q55" s="302">
        <f t="shared" si="18"/>
        <v>431501</v>
      </c>
      <c r="R55" s="303">
        <v>130790.5</v>
      </c>
      <c r="S55" s="304">
        <f t="shared" si="19"/>
        <v>150355.25</v>
      </c>
      <c r="T55" s="302">
        <f t="shared" si="20"/>
        <v>300710.5</v>
      </c>
      <c r="U55" s="307">
        <f t="shared" si="21"/>
        <v>0.47232992514766664</v>
      </c>
      <c r="V55" s="308">
        <f t="shared" si="22"/>
        <v>-335943</v>
      </c>
      <c r="W55" s="28">
        <v>636653.5</v>
      </c>
      <c r="X55" s="28">
        <f t="shared" si="23"/>
        <v>300710.5</v>
      </c>
      <c r="Y55" s="303">
        <v>205552.5</v>
      </c>
      <c r="Z55" s="303">
        <v>95158</v>
      </c>
      <c r="AA55" s="1005" t="s">
        <v>624</v>
      </c>
      <c r="AB55" s="1006"/>
      <c r="AC55" s="1006"/>
      <c r="AD55" s="1006"/>
      <c r="AE55" s="1006"/>
      <c r="AF55" s="1006"/>
      <c r="AG55" s="1006"/>
    </row>
    <row r="56" spans="1:26" ht="15.75">
      <c r="A56" s="238">
        <v>45</v>
      </c>
      <c r="B56" s="268" t="s">
        <v>397</v>
      </c>
      <c r="C56" s="302">
        <f t="shared" si="14"/>
        <v>44001</v>
      </c>
      <c r="D56" s="303">
        <v>14666</v>
      </c>
      <c r="E56" s="304">
        <f t="shared" si="15"/>
        <v>14667.5</v>
      </c>
      <c r="F56" s="303">
        <v>29335</v>
      </c>
      <c r="G56" s="305">
        <f t="shared" si="16"/>
        <v>1.7031670396758822</v>
      </c>
      <c r="H56" s="303">
        <f t="shared" si="17"/>
        <v>202022</v>
      </c>
      <c r="I56" s="28">
        <v>287303</v>
      </c>
      <c r="J56" s="302">
        <f t="shared" si="24"/>
        <v>489325</v>
      </c>
      <c r="K56" s="303">
        <v>163108</v>
      </c>
      <c r="L56" s="304">
        <f t="shared" si="25"/>
        <v>163108.5</v>
      </c>
      <c r="M56" s="306">
        <f t="shared" si="26"/>
        <v>1.1354458533325444</v>
      </c>
      <c r="N56" s="303">
        <f t="shared" si="27"/>
        <v>38914</v>
      </c>
      <c r="O56" s="28">
        <v>287303</v>
      </c>
      <c r="P56" s="303">
        <v>326217</v>
      </c>
      <c r="Q56" s="302">
        <f t="shared" si="18"/>
        <v>2879712</v>
      </c>
      <c r="R56" s="303">
        <v>733741</v>
      </c>
      <c r="S56" s="304">
        <f t="shared" si="19"/>
        <v>1072985.5</v>
      </c>
      <c r="T56" s="302">
        <f t="shared" si="20"/>
        <v>2145971</v>
      </c>
      <c r="U56" s="307">
        <f t="shared" si="21"/>
        <v>1.4247886025994445</v>
      </c>
      <c r="V56" s="308">
        <f t="shared" si="22"/>
        <v>639803</v>
      </c>
      <c r="W56" s="28">
        <v>1506168</v>
      </c>
      <c r="X56" s="28">
        <f t="shared" si="23"/>
        <v>2145971</v>
      </c>
      <c r="Y56" s="303">
        <v>1289189</v>
      </c>
      <c r="Z56" s="303">
        <v>856782</v>
      </c>
    </row>
    <row r="57" spans="1:26" ht="15.75">
      <c r="A57" s="238">
        <v>46</v>
      </c>
      <c r="B57" s="268" t="s">
        <v>398</v>
      </c>
      <c r="C57" s="302">
        <f t="shared" si="14"/>
        <v>13800</v>
      </c>
      <c r="D57" s="303">
        <v>4279</v>
      </c>
      <c r="E57" s="304">
        <f t="shared" si="15"/>
        <v>4760.5</v>
      </c>
      <c r="F57" s="303">
        <v>9521</v>
      </c>
      <c r="G57" s="305">
        <f t="shared" si="16"/>
        <v>1.267763202057638</v>
      </c>
      <c r="H57" s="303">
        <f t="shared" si="17"/>
        <v>151577</v>
      </c>
      <c r="I57" s="28">
        <v>566086</v>
      </c>
      <c r="J57" s="302">
        <f t="shared" si="24"/>
        <v>717663</v>
      </c>
      <c r="K57" s="303">
        <v>229650</v>
      </c>
      <c r="L57" s="304">
        <f t="shared" si="25"/>
        <v>244006.5</v>
      </c>
      <c r="M57" s="306">
        <f t="shared" si="26"/>
        <v>0.862082793073844</v>
      </c>
      <c r="N57" s="303">
        <f t="shared" si="27"/>
        <v>-78073</v>
      </c>
      <c r="O57" s="28">
        <v>566086</v>
      </c>
      <c r="P57" s="303">
        <v>488013</v>
      </c>
      <c r="Q57" s="302">
        <f t="shared" si="18"/>
        <v>2345575</v>
      </c>
      <c r="R57" s="303">
        <v>686909</v>
      </c>
      <c r="S57" s="304">
        <f t="shared" si="19"/>
        <v>829333</v>
      </c>
      <c r="T57" s="302">
        <f t="shared" si="20"/>
        <v>1658666</v>
      </c>
      <c r="U57" s="307">
        <f t="shared" si="21"/>
        <v>1.0098447728335411</v>
      </c>
      <c r="V57" s="308">
        <f t="shared" si="22"/>
        <v>16170</v>
      </c>
      <c r="W57" s="28">
        <v>1642496</v>
      </c>
      <c r="X57" s="28">
        <f t="shared" si="23"/>
        <v>1658666</v>
      </c>
      <c r="Y57" s="303">
        <v>1459150</v>
      </c>
      <c r="Z57" s="303">
        <v>199516</v>
      </c>
    </row>
    <row r="58" spans="1:26" ht="15.75">
      <c r="A58" s="238">
        <v>47</v>
      </c>
      <c r="B58" s="268" t="s">
        <v>399</v>
      </c>
      <c r="C58" s="302">
        <f t="shared" si="14"/>
        <v>8370</v>
      </c>
      <c r="D58" s="303">
        <v>2733</v>
      </c>
      <c r="E58" s="304">
        <f t="shared" si="15"/>
        <v>2818.5</v>
      </c>
      <c r="F58" s="303">
        <v>5637</v>
      </c>
      <c r="G58" s="305">
        <f t="shared" si="16"/>
        <v>1.9586472451932426</v>
      </c>
      <c r="H58" s="303">
        <f t="shared" si="17"/>
        <v>167627.14</v>
      </c>
      <c r="I58" s="28">
        <v>174858</v>
      </c>
      <c r="J58" s="302">
        <f t="shared" si="24"/>
        <v>342485.14</v>
      </c>
      <c r="K58" s="303">
        <v>164592.5</v>
      </c>
      <c r="L58" s="304">
        <f t="shared" si="25"/>
        <v>88946.32</v>
      </c>
      <c r="M58" s="306">
        <f t="shared" si="26"/>
        <v>1.0173548822473093</v>
      </c>
      <c r="N58" s="303">
        <f t="shared" si="27"/>
        <v>3034.640000000014</v>
      </c>
      <c r="O58" s="28">
        <v>174858</v>
      </c>
      <c r="P58" s="303">
        <v>177892.64</v>
      </c>
      <c r="Q58" s="302">
        <f t="shared" si="18"/>
        <v>1221175.37</v>
      </c>
      <c r="R58" s="303">
        <v>373173.83</v>
      </c>
      <c r="S58" s="304">
        <f t="shared" si="19"/>
        <v>424000.77</v>
      </c>
      <c r="T58" s="302">
        <f t="shared" si="20"/>
        <v>848001.54</v>
      </c>
      <c r="U58" s="307">
        <f t="shared" si="21"/>
        <v>1.1565539392319295</v>
      </c>
      <c r="V58" s="308">
        <f t="shared" si="22"/>
        <v>114787.54000000004</v>
      </c>
      <c r="W58" s="28">
        <v>733214</v>
      </c>
      <c r="X58" s="28">
        <f t="shared" si="23"/>
        <v>848001.54</v>
      </c>
      <c r="Y58" s="303">
        <v>657179.73</v>
      </c>
      <c r="Z58" s="303">
        <v>190821.81</v>
      </c>
    </row>
    <row r="59" spans="1:26" ht="15.75">
      <c r="A59" s="238">
        <v>48</v>
      </c>
      <c r="B59" s="268" t="s">
        <v>400</v>
      </c>
      <c r="C59" s="302">
        <f t="shared" si="14"/>
        <v>42500</v>
      </c>
      <c r="D59" s="303">
        <v>14167</v>
      </c>
      <c r="E59" s="304">
        <f t="shared" si="15"/>
        <v>14166.5</v>
      </c>
      <c r="F59" s="303">
        <v>28333</v>
      </c>
      <c r="G59" s="305">
        <f t="shared" si="16"/>
        <v>1.1890688217849026</v>
      </c>
      <c r="H59" s="303">
        <f t="shared" si="17"/>
        <v>55656</v>
      </c>
      <c r="I59" s="28">
        <v>294369</v>
      </c>
      <c r="J59" s="302">
        <f t="shared" si="24"/>
        <v>350025</v>
      </c>
      <c r="K59" s="303">
        <v>116675</v>
      </c>
      <c r="L59" s="304">
        <f t="shared" si="25"/>
        <v>116675</v>
      </c>
      <c r="M59" s="306">
        <f t="shared" si="26"/>
        <v>0.7927125478566017</v>
      </c>
      <c r="N59" s="303">
        <f t="shared" si="27"/>
        <v>-61019</v>
      </c>
      <c r="O59" s="28">
        <v>294369</v>
      </c>
      <c r="P59" s="303">
        <v>233350</v>
      </c>
      <c r="Q59" s="302">
        <f t="shared" si="18"/>
        <v>3072896.7</v>
      </c>
      <c r="R59" s="303">
        <v>1024298.9</v>
      </c>
      <c r="S59" s="304">
        <f t="shared" si="19"/>
        <v>1024298.9</v>
      </c>
      <c r="T59" s="302">
        <f t="shared" si="20"/>
        <v>2048597.8</v>
      </c>
      <c r="U59" s="307">
        <f t="shared" si="21"/>
        <v>0.9304969029581439</v>
      </c>
      <c r="V59" s="308">
        <f t="shared" si="22"/>
        <v>-153019.19999999995</v>
      </c>
      <c r="W59" s="28">
        <v>2201617</v>
      </c>
      <c r="X59" s="28">
        <f t="shared" si="23"/>
        <v>2048597.8</v>
      </c>
      <c r="Y59" s="303">
        <v>1458049.8</v>
      </c>
      <c r="Z59" s="303">
        <v>590548</v>
      </c>
    </row>
    <row r="60" spans="1:26" ht="15.75">
      <c r="A60" s="238">
        <v>49</v>
      </c>
      <c r="B60" s="268" t="s">
        <v>401</v>
      </c>
      <c r="C60" s="302">
        <f t="shared" si="14"/>
        <v>4377</v>
      </c>
      <c r="D60" s="303">
        <v>1458</v>
      </c>
      <c r="E60" s="304">
        <f t="shared" si="15"/>
        <v>1459.5</v>
      </c>
      <c r="F60" s="303">
        <v>2919</v>
      </c>
      <c r="G60" s="305">
        <f t="shared" si="16"/>
        <v>1.1935019775435989</v>
      </c>
      <c r="H60" s="303">
        <f t="shared" si="17"/>
        <v>36449</v>
      </c>
      <c r="I60" s="28">
        <v>188365</v>
      </c>
      <c r="J60" s="302">
        <f t="shared" si="24"/>
        <v>224814</v>
      </c>
      <c r="K60" s="303">
        <v>74938</v>
      </c>
      <c r="L60" s="304">
        <f t="shared" si="25"/>
        <v>74938</v>
      </c>
      <c r="M60" s="306">
        <f t="shared" si="26"/>
        <v>0.7956679850290659</v>
      </c>
      <c r="N60" s="303">
        <f t="shared" si="27"/>
        <v>-38489</v>
      </c>
      <c r="O60" s="28">
        <v>188365</v>
      </c>
      <c r="P60" s="303">
        <v>149876</v>
      </c>
      <c r="Q60" s="302">
        <f t="shared" si="18"/>
        <v>792986</v>
      </c>
      <c r="R60" s="303">
        <v>264328</v>
      </c>
      <c r="S60" s="304">
        <f t="shared" si="19"/>
        <v>264329</v>
      </c>
      <c r="T60" s="302">
        <f t="shared" si="20"/>
        <v>528658</v>
      </c>
      <c r="U60" s="307">
        <f t="shared" si="21"/>
        <v>0.835664379880497</v>
      </c>
      <c r="V60" s="308">
        <f t="shared" si="22"/>
        <v>-103962</v>
      </c>
      <c r="W60" s="28">
        <v>632620</v>
      </c>
      <c r="X60" s="28">
        <f t="shared" si="23"/>
        <v>528658</v>
      </c>
      <c r="Y60" s="303">
        <v>482057</v>
      </c>
      <c r="Z60" s="303">
        <v>46601</v>
      </c>
    </row>
    <row r="61" spans="1:26" ht="15.75">
      <c r="A61" s="238">
        <v>50</v>
      </c>
      <c r="B61" s="268" t="s">
        <v>402</v>
      </c>
      <c r="C61" s="302">
        <f t="shared" si="14"/>
        <v>23726</v>
      </c>
      <c r="D61" s="303">
        <v>7856</v>
      </c>
      <c r="E61" s="304">
        <f t="shared" si="15"/>
        <v>7935</v>
      </c>
      <c r="F61" s="303">
        <v>15870</v>
      </c>
      <c r="G61" s="305">
        <f t="shared" si="16"/>
        <v>1.4220247950571416</v>
      </c>
      <c r="H61" s="303">
        <f t="shared" si="17"/>
        <v>104506</v>
      </c>
      <c r="I61" s="28">
        <v>247630</v>
      </c>
      <c r="J61" s="302">
        <f t="shared" si="24"/>
        <v>352136</v>
      </c>
      <c r="K61" s="303">
        <v>117379</v>
      </c>
      <c r="L61" s="304">
        <f t="shared" si="25"/>
        <v>117378.5</v>
      </c>
      <c r="M61" s="306">
        <f t="shared" si="26"/>
        <v>0.9480151839437871</v>
      </c>
      <c r="N61" s="303">
        <f t="shared" si="27"/>
        <v>-12873</v>
      </c>
      <c r="O61" s="28">
        <v>247630</v>
      </c>
      <c r="P61" s="303">
        <v>234757</v>
      </c>
      <c r="Q61" s="302">
        <f t="shared" si="18"/>
        <v>2045467</v>
      </c>
      <c r="R61" s="303">
        <v>681823</v>
      </c>
      <c r="S61" s="304">
        <f t="shared" si="19"/>
        <v>681822</v>
      </c>
      <c r="T61" s="302">
        <f t="shared" si="20"/>
        <v>1363644</v>
      </c>
      <c r="U61" s="307">
        <f t="shared" si="21"/>
        <v>1.4696016943197783</v>
      </c>
      <c r="V61" s="308">
        <f t="shared" si="22"/>
        <v>435743.6</v>
      </c>
      <c r="W61" s="28">
        <v>927900.4</v>
      </c>
      <c r="X61" s="28">
        <f t="shared" si="23"/>
        <v>1363644</v>
      </c>
      <c r="Y61" s="303">
        <v>762410</v>
      </c>
      <c r="Z61" s="303">
        <v>601234</v>
      </c>
    </row>
    <row r="62" spans="1:26" ht="15.75">
      <c r="A62" s="238">
        <v>51</v>
      </c>
      <c r="B62" s="268" t="s">
        <v>403</v>
      </c>
      <c r="C62" s="302">
        <f t="shared" si="14"/>
        <v>93962</v>
      </c>
      <c r="D62" s="303">
        <v>31322</v>
      </c>
      <c r="E62" s="304">
        <f t="shared" si="15"/>
        <v>31320</v>
      </c>
      <c r="F62" s="303">
        <v>62640</v>
      </c>
      <c r="G62" s="305">
        <f t="shared" si="16"/>
        <v>0.4731853338463651</v>
      </c>
      <c r="H62" s="303">
        <f t="shared" si="17"/>
        <v>-310798</v>
      </c>
      <c r="I62" s="28">
        <v>589957</v>
      </c>
      <c r="J62" s="302">
        <f t="shared" si="24"/>
        <v>279159</v>
      </c>
      <c r="K62" s="303">
        <v>93065</v>
      </c>
      <c r="L62" s="304">
        <f t="shared" si="25"/>
        <v>93047</v>
      </c>
      <c r="M62" s="306">
        <f t="shared" si="26"/>
        <v>0.3154365487654185</v>
      </c>
      <c r="N62" s="303">
        <f t="shared" si="27"/>
        <v>-403863</v>
      </c>
      <c r="O62" s="28">
        <v>589957</v>
      </c>
      <c r="P62" s="303">
        <v>186094</v>
      </c>
      <c r="Q62" s="302">
        <f t="shared" si="18"/>
        <v>1464209</v>
      </c>
      <c r="R62" s="303">
        <v>488070</v>
      </c>
      <c r="S62" s="304">
        <f t="shared" si="19"/>
        <v>488069.5</v>
      </c>
      <c r="T62" s="302">
        <f t="shared" si="20"/>
        <v>976139</v>
      </c>
      <c r="U62" s="307">
        <f t="shared" si="21"/>
        <v>1.0697003402609215</v>
      </c>
      <c r="V62" s="308">
        <f t="shared" si="22"/>
        <v>63604</v>
      </c>
      <c r="W62" s="28">
        <v>912535</v>
      </c>
      <c r="X62" s="28">
        <f t="shared" si="23"/>
        <v>976139</v>
      </c>
      <c r="Y62" s="303">
        <v>551923</v>
      </c>
      <c r="Z62" s="303">
        <v>424216</v>
      </c>
    </row>
    <row r="63" spans="1:26" ht="15.75">
      <c r="A63" s="238">
        <v>52</v>
      </c>
      <c r="B63" s="268" t="s">
        <v>404</v>
      </c>
      <c r="C63" s="302">
        <f t="shared" si="14"/>
        <v>30423</v>
      </c>
      <c r="D63" s="303">
        <v>10147</v>
      </c>
      <c r="E63" s="304">
        <f t="shared" si="15"/>
        <v>10138</v>
      </c>
      <c r="F63" s="303">
        <v>20276</v>
      </c>
      <c r="G63" s="305">
        <f t="shared" si="16"/>
        <v>1.3939743319697424</v>
      </c>
      <c r="H63" s="303">
        <f t="shared" si="17"/>
        <v>106613</v>
      </c>
      <c r="I63" s="28">
        <v>270609</v>
      </c>
      <c r="J63" s="302">
        <f t="shared" si="24"/>
        <v>377222</v>
      </c>
      <c r="K63" s="303">
        <v>125740</v>
      </c>
      <c r="L63" s="304">
        <f t="shared" si="25"/>
        <v>125741</v>
      </c>
      <c r="M63" s="306">
        <f t="shared" si="26"/>
        <v>0.9293186848922246</v>
      </c>
      <c r="N63" s="303">
        <f t="shared" si="27"/>
        <v>-19127</v>
      </c>
      <c r="O63" s="28">
        <v>270609</v>
      </c>
      <c r="P63" s="303">
        <v>251482</v>
      </c>
      <c r="Q63" s="302">
        <f t="shared" si="18"/>
        <v>3319645</v>
      </c>
      <c r="R63" s="303">
        <v>1106713</v>
      </c>
      <c r="S63" s="304">
        <f t="shared" si="19"/>
        <v>1106466</v>
      </c>
      <c r="T63" s="302">
        <f t="shared" si="20"/>
        <v>2212932</v>
      </c>
      <c r="U63" s="307">
        <f t="shared" si="21"/>
        <v>1.9187826237752537</v>
      </c>
      <c r="V63" s="308">
        <f t="shared" si="22"/>
        <v>1059632</v>
      </c>
      <c r="W63" s="28">
        <v>1153300</v>
      </c>
      <c r="X63" s="28">
        <f t="shared" si="23"/>
        <v>2212932</v>
      </c>
      <c r="Y63" s="303">
        <v>941216</v>
      </c>
      <c r="Z63" s="303">
        <v>1271716</v>
      </c>
    </row>
    <row r="64" spans="1:26" ht="15.75">
      <c r="A64" s="238">
        <v>53</v>
      </c>
      <c r="B64" s="268" t="s">
        <v>405</v>
      </c>
      <c r="C64" s="302">
        <f t="shared" si="14"/>
        <v>81264</v>
      </c>
      <c r="D64" s="303">
        <v>27997</v>
      </c>
      <c r="E64" s="304">
        <f t="shared" si="15"/>
        <v>26633.5</v>
      </c>
      <c r="F64" s="303">
        <v>53267</v>
      </c>
      <c r="G64" s="305">
        <f t="shared" si="16"/>
        <v>1.3396100145942107</v>
      </c>
      <c r="H64" s="303">
        <f t="shared" si="17"/>
        <v>174061</v>
      </c>
      <c r="I64" s="28">
        <v>512532</v>
      </c>
      <c r="J64" s="302">
        <f t="shared" si="24"/>
        <v>686593</v>
      </c>
      <c r="K64" s="303">
        <v>213170</v>
      </c>
      <c r="L64" s="304">
        <f t="shared" si="25"/>
        <v>236711.5</v>
      </c>
      <c r="M64" s="306">
        <f t="shared" si="26"/>
        <v>0.9236945205372542</v>
      </c>
      <c r="N64" s="303">
        <f t="shared" si="27"/>
        <v>-39109</v>
      </c>
      <c r="O64" s="28">
        <v>512532</v>
      </c>
      <c r="P64" s="303">
        <v>473423</v>
      </c>
      <c r="Q64" s="302">
        <f t="shared" si="18"/>
        <v>2256492</v>
      </c>
      <c r="R64" s="303">
        <v>712964</v>
      </c>
      <c r="S64" s="304">
        <f t="shared" si="19"/>
        <v>771764</v>
      </c>
      <c r="T64" s="302">
        <f t="shared" si="20"/>
        <v>1543528</v>
      </c>
      <c r="U64" s="307">
        <f t="shared" si="21"/>
        <v>1.482606227505569</v>
      </c>
      <c r="V64" s="308">
        <f t="shared" si="22"/>
        <v>502437.0000000001</v>
      </c>
      <c r="W64" s="28">
        <v>1041090.9999999999</v>
      </c>
      <c r="X64" s="28">
        <f t="shared" si="23"/>
        <v>1543528</v>
      </c>
      <c r="Y64" s="303">
        <v>888753</v>
      </c>
      <c r="Z64" s="303">
        <v>654775</v>
      </c>
    </row>
    <row r="65" spans="1:26" ht="15.75">
      <c r="A65" s="238">
        <v>54</v>
      </c>
      <c r="B65" s="268" t="s">
        <v>406</v>
      </c>
      <c r="C65" s="302">
        <f t="shared" si="14"/>
        <v>17842</v>
      </c>
      <c r="D65" s="303">
        <v>5948</v>
      </c>
      <c r="E65" s="304">
        <f t="shared" si="15"/>
        <v>5947</v>
      </c>
      <c r="F65" s="303">
        <v>11894</v>
      </c>
      <c r="G65" s="305">
        <f t="shared" si="16"/>
        <v>6.4126563700365775</v>
      </c>
      <c r="H65" s="303">
        <f t="shared" si="17"/>
        <v>472054</v>
      </c>
      <c r="I65" s="28">
        <v>87213</v>
      </c>
      <c r="J65" s="302">
        <f t="shared" si="24"/>
        <v>559267</v>
      </c>
      <c r="K65" s="303">
        <v>186422</v>
      </c>
      <c r="L65" s="304">
        <f t="shared" si="25"/>
        <v>186422.5</v>
      </c>
      <c r="M65" s="306">
        <f t="shared" si="26"/>
        <v>4.275108068751218</v>
      </c>
      <c r="N65" s="303">
        <f t="shared" si="27"/>
        <v>285632</v>
      </c>
      <c r="O65" s="28">
        <v>87213</v>
      </c>
      <c r="P65" s="303">
        <v>372845</v>
      </c>
      <c r="Q65" s="302">
        <f t="shared" si="18"/>
        <v>1599753</v>
      </c>
      <c r="R65" s="303">
        <v>533249</v>
      </c>
      <c r="S65" s="304">
        <f t="shared" si="19"/>
        <v>533252</v>
      </c>
      <c r="T65" s="302">
        <f t="shared" si="20"/>
        <v>1066504</v>
      </c>
      <c r="U65" s="307">
        <f t="shared" si="21"/>
        <v>1.2433130642393495</v>
      </c>
      <c r="V65" s="308">
        <f t="shared" si="22"/>
        <v>208712</v>
      </c>
      <c r="W65" s="28">
        <v>857792</v>
      </c>
      <c r="X65" s="28">
        <f t="shared" si="23"/>
        <v>1066504</v>
      </c>
      <c r="Y65" s="303">
        <v>746335</v>
      </c>
      <c r="Z65" s="303">
        <v>320169</v>
      </c>
    </row>
    <row r="66" spans="1:26" ht="15.75">
      <c r="A66" s="238">
        <v>55</v>
      </c>
      <c r="B66" s="268" t="s">
        <v>547</v>
      </c>
      <c r="C66" s="302">
        <f t="shared" si="14"/>
        <v>56184</v>
      </c>
      <c r="D66" s="303">
        <v>18728</v>
      </c>
      <c r="E66" s="304">
        <f t="shared" si="15"/>
        <v>18728</v>
      </c>
      <c r="F66" s="303">
        <v>37456</v>
      </c>
      <c r="G66" s="305">
        <f t="shared" si="16"/>
        <v>0.7520491524115288</v>
      </c>
      <c r="H66" s="303">
        <f t="shared" si="17"/>
        <v>-218408</v>
      </c>
      <c r="I66" s="28">
        <v>880852</v>
      </c>
      <c r="J66" s="302">
        <f t="shared" si="24"/>
        <v>662444</v>
      </c>
      <c r="K66" s="303">
        <v>220815</v>
      </c>
      <c r="L66" s="304">
        <f t="shared" si="25"/>
        <v>220814.5</v>
      </c>
      <c r="M66" s="306">
        <f t="shared" si="26"/>
        <v>0.5013657231861879</v>
      </c>
      <c r="N66" s="303">
        <f t="shared" si="27"/>
        <v>-439223</v>
      </c>
      <c r="O66" s="28">
        <v>880852</v>
      </c>
      <c r="P66" s="303">
        <v>441629</v>
      </c>
      <c r="Q66" s="302">
        <f t="shared" si="18"/>
        <v>2460503</v>
      </c>
      <c r="R66" s="303">
        <v>820167</v>
      </c>
      <c r="S66" s="304">
        <f t="shared" si="19"/>
        <v>820168</v>
      </c>
      <c r="T66" s="302">
        <f t="shared" si="20"/>
        <v>1640336</v>
      </c>
      <c r="U66" s="307">
        <f t="shared" si="21"/>
        <v>0.5689206802620106</v>
      </c>
      <c r="V66" s="308">
        <f t="shared" si="22"/>
        <v>-1242906</v>
      </c>
      <c r="W66" s="28">
        <v>2883242</v>
      </c>
      <c r="X66" s="28">
        <f t="shared" si="23"/>
        <v>1640336</v>
      </c>
      <c r="Y66" s="303">
        <v>1306122</v>
      </c>
      <c r="Z66" s="303">
        <v>334214</v>
      </c>
    </row>
    <row r="67" spans="1:26" ht="31.5">
      <c r="A67" s="238">
        <v>56</v>
      </c>
      <c r="B67" s="268" t="s">
        <v>408</v>
      </c>
      <c r="C67" s="302">
        <f t="shared" si="14"/>
        <v>11192</v>
      </c>
      <c r="D67" s="303">
        <v>3732</v>
      </c>
      <c r="E67" s="304">
        <f t="shared" si="15"/>
        <v>3730</v>
      </c>
      <c r="F67" s="303">
        <v>7460</v>
      </c>
      <c r="G67" s="305">
        <f t="shared" si="16"/>
        <v>1.0312737869153705</v>
      </c>
      <c r="H67" s="303">
        <f t="shared" si="17"/>
        <v>8135</v>
      </c>
      <c r="I67" s="28">
        <v>260122</v>
      </c>
      <c r="J67" s="302">
        <f t="shared" si="24"/>
        <v>268257</v>
      </c>
      <c r="K67" s="303">
        <v>89419</v>
      </c>
      <c r="L67" s="304">
        <f t="shared" si="25"/>
        <v>89419</v>
      </c>
      <c r="M67" s="306">
        <f t="shared" si="26"/>
        <v>0.6875158579435803</v>
      </c>
      <c r="N67" s="303">
        <f t="shared" si="27"/>
        <v>-81284</v>
      </c>
      <c r="O67" s="28">
        <v>260122</v>
      </c>
      <c r="P67" s="303">
        <v>178838</v>
      </c>
      <c r="Q67" s="302">
        <f t="shared" si="18"/>
        <v>1442514</v>
      </c>
      <c r="R67" s="303">
        <v>480838</v>
      </c>
      <c r="S67" s="304">
        <f t="shared" si="19"/>
        <v>480838</v>
      </c>
      <c r="T67" s="302">
        <f t="shared" si="20"/>
        <v>961676</v>
      </c>
      <c r="U67" s="307">
        <f t="shared" si="21"/>
        <v>0.5462578387712442</v>
      </c>
      <c r="V67" s="308">
        <f t="shared" si="22"/>
        <v>-798804</v>
      </c>
      <c r="W67" s="28">
        <v>1760480</v>
      </c>
      <c r="X67" s="28">
        <f t="shared" si="23"/>
        <v>961676</v>
      </c>
      <c r="Y67" s="303">
        <v>694698</v>
      </c>
      <c r="Z67" s="303">
        <v>266978</v>
      </c>
    </row>
    <row r="68" spans="1:26" ht="15.75">
      <c r="A68" s="238">
        <v>57</v>
      </c>
      <c r="B68" s="268" t="s">
        <v>409</v>
      </c>
      <c r="C68" s="302">
        <f t="shared" si="14"/>
        <v>24871</v>
      </c>
      <c r="D68" s="303">
        <v>8290</v>
      </c>
      <c r="E68" s="304">
        <f t="shared" si="15"/>
        <v>8290.5</v>
      </c>
      <c r="F68" s="303">
        <v>16581</v>
      </c>
      <c r="G68" s="305">
        <f t="shared" si="16"/>
        <v>1.30241282767657</v>
      </c>
      <c r="H68" s="303">
        <f t="shared" si="17"/>
        <v>102938</v>
      </c>
      <c r="I68" s="28">
        <v>340389</v>
      </c>
      <c r="J68" s="302">
        <f t="shared" si="24"/>
        <v>443327</v>
      </c>
      <c r="K68" s="303">
        <v>144162</v>
      </c>
      <c r="L68" s="304">
        <f t="shared" si="25"/>
        <v>149582.5</v>
      </c>
      <c r="M68" s="306">
        <f t="shared" si="26"/>
        <v>0.8788915035444741</v>
      </c>
      <c r="N68" s="303">
        <f t="shared" si="27"/>
        <v>-41224</v>
      </c>
      <c r="O68" s="28">
        <v>340389</v>
      </c>
      <c r="P68" s="303">
        <v>299165</v>
      </c>
      <c r="Q68" s="302">
        <f t="shared" si="18"/>
        <v>3274168</v>
      </c>
      <c r="R68" s="303">
        <v>1077890</v>
      </c>
      <c r="S68" s="304">
        <f t="shared" si="19"/>
        <v>1098139</v>
      </c>
      <c r="T68" s="302">
        <f t="shared" si="20"/>
        <v>2196278</v>
      </c>
      <c r="U68" s="307">
        <f t="shared" si="21"/>
        <v>1.4869857819905212</v>
      </c>
      <c r="V68" s="308">
        <f t="shared" si="22"/>
        <v>719278</v>
      </c>
      <c r="W68" s="28">
        <v>1477000</v>
      </c>
      <c r="X68" s="28">
        <f t="shared" si="23"/>
        <v>2196278</v>
      </c>
      <c r="Y68" s="303">
        <v>1262419</v>
      </c>
      <c r="Z68" s="303">
        <v>933859</v>
      </c>
    </row>
    <row r="69" spans="1:26" ht="31.5">
      <c r="A69" s="238">
        <v>58</v>
      </c>
      <c r="B69" s="268" t="s">
        <v>548</v>
      </c>
      <c r="C69" s="302">
        <f t="shared" si="14"/>
        <v>1120158</v>
      </c>
      <c r="D69" s="303">
        <v>337121</v>
      </c>
      <c r="E69" s="304">
        <f t="shared" si="15"/>
        <v>391518.5</v>
      </c>
      <c r="F69" s="303">
        <v>783037</v>
      </c>
      <c r="G69" s="305">
        <f t="shared" si="16"/>
        <v>1.467563497610684</v>
      </c>
      <c r="H69" s="303">
        <f t="shared" si="17"/>
        <v>3117330</v>
      </c>
      <c r="I69" s="28">
        <v>6667180</v>
      </c>
      <c r="J69" s="302">
        <f t="shared" si="24"/>
        <v>9784510</v>
      </c>
      <c r="K69" s="303">
        <v>2829351</v>
      </c>
      <c r="L69" s="304">
        <f t="shared" si="25"/>
        <v>3477579.5</v>
      </c>
      <c r="M69" s="306">
        <f t="shared" si="26"/>
        <v>1.0431935240986443</v>
      </c>
      <c r="N69" s="303">
        <f t="shared" si="27"/>
        <v>287979</v>
      </c>
      <c r="O69" s="28">
        <v>6667180</v>
      </c>
      <c r="P69" s="303">
        <v>6955159</v>
      </c>
      <c r="Q69" s="302">
        <f t="shared" si="18"/>
        <v>56116892</v>
      </c>
      <c r="R69" s="303">
        <v>15324773</v>
      </c>
      <c r="S69" s="304">
        <f t="shared" si="19"/>
        <v>20396059.5</v>
      </c>
      <c r="T69" s="302">
        <f t="shared" si="20"/>
        <v>40792119</v>
      </c>
      <c r="U69" s="307">
        <f t="shared" si="21"/>
        <v>1.0485494833610858</v>
      </c>
      <c r="V69" s="308">
        <f t="shared" si="22"/>
        <v>1888739</v>
      </c>
      <c r="W69" s="28">
        <v>38903380</v>
      </c>
      <c r="X69" s="28">
        <f t="shared" si="23"/>
        <v>40792119</v>
      </c>
      <c r="Y69" s="303">
        <v>32197533</v>
      </c>
      <c r="Z69" s="303">
        <v>8594586</v>
      </c>
    </row>
    <row r="70" spans="1:26" ht="15.75">
      <c r="A70" s="238">
        <v>59</v>
      </c>
      <c r="B70" s="268" t="s">
        <v>411</v>
      </c>
      <c r="C70" s="302">
        <f t="shared" si="14"/>
        <v>59806</v>
      </c>
      <c r="D70" s="303">
        <v>19937</v>
      </c>
      <c r="E70" s="304">
        <f t="shared" si="15"/>
        <v>19934.5</v>
      </c>
      <c r="F70" s="303">
        <v>39869</v>
      </c>
      <c r="G70" s="305">
        <f t="shared" si="16"/>
        <v>2.1287098861664266</v>
      </c>
      <c r="H70" s="303">
        <f t="shared" si="17"/>
        <v>306982</v>
      </c>
      <c r="I70" s="28">
        <v>271976</v>
      </c>
      <c r="J70" s="302">
        <f t="shared" si="24"/>
        <v>578958</v>
      </c>
      <c r="K70" s="303">
        <v>192986</v>
      </c>
      <c r="L70" s="304">
        <f t="shared" si="25"/>
        <v>192986</v>
      </c>
      <c r="M70" s="306">
        <f t="shared" si="26"/>
        <v>1.419139924110951</v>
      </c>
      <c r="N70" s="303">
        <f t="shared" si="27"/>
        <v>113996</v>
      </c>
      <c r="O70" s="28">
        <v>271976</v>
      </c>
      <c r="P70" s="303">
        <v>385972</v>
      </c>
      <c r="Q70" s="302">
        <f t="shared" si="18"/>
        <v>1359006</v>
      </c>
      <c r="R70" s="303">
        <v>453004</v>
      </c>
      <c r="S70" s="304">
        <f t="shared" si="19"/>
        <v>453001</v>
      </c>
      <c r="T70" s="302">
        <f t="shared" si="20"/>
        <v>906002</v>
      </c>
      <c r="U70" s="307">
        <f t="shared" si="21"/>
        <v>1.933414710137814</v>
      </c>
      <c r="V70" s="308">
        <f t="shared" si="22"/>
        <v>437400</v>
      </c>
      <c r="W70" s="28">
        <v>468602</v>
      </c>
      <c r="X70" s="28">
        <f t="shared" si="23"/>
        <v>906002</v>
      </c>
      <c r="Y70" s="303">
        <v>387736</v>
      </c>
      <c r="Z70" s="303">
        <v>518266</v>
      </c>
    </row>
    <row r="71" spans="1:26" ht="15.75">
      <c r="A71" s="238">
        <v>60</v>
      </c>
      <c r="B71" s="268" t="s">
        <v>412</v>
      </c>
      <c r="C71" s="302">
        <f t="shared" si="14"/>
        <v>5366</v>
      </c>
      <c r="D71" s="303">
        <v>1789</v>
      </c>
      <c r="E71" s="304">
        <f t="shared" si="15"/>
        <v>1788.5</v>
      </c>
      <c r="F71" s="303">
        <v>3577</v>
      </c>
      <c r="G71" s="305">
        <f t="shared" si="16"/>
        <v>3.110774654583489</v>
      </c>
      <c r="H71" s="303">
        <f t="shared" si="17"/>
        <v>288583</v>
      </c>
      <c r="I71" s="28">
        <v>136719</v>
      </c>
      <c r="J71" s="302">
        <f t="shared" si="24"/>
        <v>425302</v>
      </c>
      <c r="K71" s="303">
        <v>141768</v>
      </c>
      <c r="L71" s="304">
        <f t="shared" si="25"/>
        <v>141767</v>
      </c>
      <c r="M71" s="306">
        <f t="shared" si="26"/>
        <v>2.073844893540766</v>
      </c>
      <c r="N71" s="303">
        <f t="shared" si="27"/>
        <v>146815</v>
      </c>
      <c r="O71" s="28">
        <v>136719</v>
      </c>
      <c r="P71" s="303">
        <v>283534</v>
      </c>
      <c r="Q71" s="302">
        <f t="shared" si="18"/>
        <v>2385723</v>
      </c>
      <c r="R71" s="303">
        <v>795241</v>
      </c>
      <c r="S71" s="304">
        <f t="shared" si="19"/>
        <v>795241</v>
      </c>
      <c r="T71" s="302">
        <f t="shared" si="20"/>
        <v>1590482</v>
      </c>
      <c r="U71" s="307">
        <f t="shared" si="21"/>
        <v>3.431453222323145</v>
      </c>
      <c r="V71" s="308">
        <f t="shared" si="22"/>
        <v>1126981</v>
      </c>
      <c r="W71" s="28">
        <v>463501</v>
      </c>
      <c r="X71" s="28">
        <f t="shared" si="23"/>
        <v>1590482</v>
      </c>
      <c r="Y71" s="303">
        <v>1328967</v>
      </c>
      <c r="Z71" s="303">
        <v>261515</v>
      </c>
    </row>
    <row r="72" spans="1:26" ht="15.75">
      <c r="A72" s="238">
        <v>61</v>
      </c>
      <c r="B72" s="268" t="s">
        <v>413</v>
      </c>
      <c r="C72" s="302">
        <f t="shared" si="14"/>
        <v>25665</v>
      </c>
      <c r="D72" s="303">
        <v>8551</v>
      </c>
      <c r="E72" s="304">
        <f t="shared" si="15"/>
        <v>8557</v>
      </c>
      <c r="F72" s="303">
        <v>17114</v>
      </c>
      <c r="G72" s="305">
        <f t="shared" si="16"/>
        <v>1.338406529475213</v>
      </c>
      <c r="H72" s="303">
        <f t="shared" si="17"/>
        <v>79690</v>
      </c>
      <c r="I72" s="28">
        <v>235486</v>
      </c>
      <c r="J72" s="302">
        <f t="shared" si="24"/>
        <v>315176</v>
      </c>
      <c r="K72" s="303">
        <v>105057</v>
      </c>
      <c r="L72" s="304">
        <f t="shared" si="25"/>
        <v>105059.5</v>
      </c>
      <c r="M72" s="306">
        <f t="shared" si="26"/>
        <v>0.8922780972117238</v>
      </c>
      <c r="N72" s="303">
        <f t="shared" si="27"/>
        <v>-25367</v>
      </c>
      <c r="O72" s="28">
        <v>235486</v>
      </c>
      <c r="P72" s="303">
        <v>210119</v>
      </c>
      <c r="Q72" s="302">
        <f t="shared" si="18"/>
        <v>1019832</v>
      </c>
      <c r="R72" s="303">
        <v>339615</v>
      </c>
      <c r="S72" s="304">
        <f t="shared" si="19"/>
        <v>340108.5</v>
      </c>
      <c r="T72" s="302">
        <f t="shared" si="20"/>
        <v>680217</v>
      </c>
      <c r="U72" s="307">
        <f t="shared" si="21"/>
        <v>0.9773008091768005</v>
      </c>
      <c r="V72" s="308">
        <f t="shared" si="22"/>
        <v>-15799</v>
      </c>
      <c r="W72" s="28">
        <v>696016</v>
      </c>
      <c r="X72" s="28">
        <f t="shared" si="23"/>
        <v>680217</v>
      </c>
      <c r="Y72" s="303">
        <v>498853</v>
      </c>
      <c r="Z72" s="303">
        <v>181364</v>
      </c>
    </row>
    <row r="73" spans="1:27" ht="15.75">
      <c r="A73" s="238">
        <v>62</v>
      </c>
      <c r="B73" s="268" t="s">
        <v>414</v>
      </c>
      <c r="C73" s="302">
        <f t="shared" si="14"/>
        <v>6777</v>
      </c>
      <c r="D73" s="303">
        <v>2260</v>
      </c>
      <c r="E73" s="304">
        <f t="shared" si="15"/>
        <v>2258.5</v>
      </c>
      <c r="F73" s="303">
        <v>4517</v>
      </c>
      <c r="G73" s="305">
        <f t="shared" si="16"/>
        <v>8.05841012409387</v>
      </c>
      <c r="H73" s="303">
        <f t="shared" si="17"/>
        <v>287242</v>
      </c>
      <c r="I73" s="28">
        <v>40695</v>
      </c>
      <c r="J73" s="302">
        <f t="shared" si="24"/>
        <v>327937</v>
      </c>
      <c r="K73" s="303">
        <v>109313</v>
      </c>
      <c r="L73" s="304">
        <f t="shared" si="25"/>
        <v>109312</v>
      </c>
      <c r="M73" s="306">
        <f t="shared" si="26"/>
        <v>5.372257034033665</v>
      </c>
      <c r="N73" s="303">
        <f t="shared" si="27"/>
        <v>177929</v>
      </c>
      <c r="O73" s="28">
        <v>40695</v>
      </c>
      <c r="P73" s="311">
        <v>218624</v>
      </c>
      <c r="Q73" s="302">
        <f t="shared" si="18"/>
        <v>820300</v>
      </c>
      <c r="R73" s="303">
        <v>273434</v>
      </c>
      <c r="S73" s="304">
        <f t="shared" si="19"/>
        <v>273433</v>
      </c>
      <c r="T73" s="302">
        <f t="shared" si="20"/>
        <v>546866</v>
      </c>
      <c r="U73" s="307">
        <f t="shared" si="21"/>
        <v>2.7916139175889247</v>
      </c>
      <c r="V73" s="308">
        <f t="shared" si="22"/>
        <v>350970</v>
      </c>
      <c r="W73" s="28">
        <v>195896</v>
      </c>
      <c r="X73" s="28">
        <f t="shared" si="23"/>
        <v>546866</v>
      </c>
      <c r="Y73" s="303">
        <v>458772</v>
      </c>
      <c r="Z73" s="303">
        <v>88094</v>
      </c>
      <c r="AA73" t="s">
        <v>625</v>
      </c>
    </row>
    <row r="74" spans="1:26" ht="15.75">
      <c r="A74" s="238">
        <v>63</v>
      </c>
      <c r="B74" s="268" t="s">
        <v>415</v>
      </c>
      <c r="C74" s="302">
        <f t="shared" si="14"/>
        <v>4082</v>
      </c>
      <c r="D74" s="303">
        <v>1355</v>
      </c>
      <c r="E74" s="304">
        <f t="shared" si="15"/>
        <v>1363.5</v>
      </c>
      <c r="F74" s="303">
        <v>2727</v>
      </c>
      <c r="G74" s="305">
        <f t="shared" si="16"/>
        <v>1.8743412384716733</v>
      </c>
      <c r="H74" s="303">
        <f t="shared" si="17"/>
        <v>122107</v>
      </c>
      <c r="I74" s="28">
        <v>139656</v>
      </c>
      <c r="J74" s="302">
        <f t="shared" si="24"/>
        <v>261763</v>
      </c>
      <c r="K74" s="303">
        <v>82438</v>
      </c>
      <c r="L74" s="304">
        <f t="shared" si="25"/>
        <v>89662.5</v>
      </c>
      <c r="M74" s="306">
        <f t="shared" si="26"/>
        <v>1.28404794638254</v>
      </c>
      <c r="N74" s="303">
        <f t="shared" si="27"/>
        <v>39669</v>
      </c>
      <c r="O74" s="28">
        <v>139656</v>
      </c>
      <c r="P74" s="303">
        <v>179325</v>
      </c>
      <c r="Q74" s="302">
        <f t="shared" si="18"/>
        <v>1029692</v>
      </c>
      <c r="R74" s="303">
        <v>354316</v>
      </c>
      <c r="S74" s="304">
        <f t="shared" si="19"/>
        <v>337688</v>
      </c>
      <c r="T74" s="302">
        <f t="shared" si="20"/>
        <v>675376</v>
      </c>
      <c r="U74" s="307">
        <f t="shared" si="21"/>
        <v>1.4963829848517411</v>
      </c>
      <c r="V74" s="308">
        <f t="shared" si="22"/>
        <v>224037</v>
      </c>
      <c r="W74" s="28">
        <v>451339</v>
      </c>
      <c r="X74" s="28">
        <f t="shared" si="23"/>
        <v>675376</v>
      </c>
      <c r="Y74" s="303">
        <v>474877</v>
      </c>
      <c r="Z74" s="303">
        <v>200499</v>
      </c>
    </row>
    <row r="76" spans="1:8" s="89" customFormat="1" ht="18" customHeight="1">
      <c r="A76" s="50"/>
      <c r="B76" s="50" t="s">
        <v>342</v>
      </c>
      <c r="C76" s="56" t="s">
        <v>505</v>
      </c>
      <c r="D76" s="50"/>
      <c r="E76" s="50"/>
      <c r="F76" s="50"/>
      <c r="G76" s="88"/>
      <c r="H76" s="88"/>
    </row>
    <row r="77" spans="1:6" s="87" customFormat="1" ht="18" customHeight="1">
      <c r="A77" s="50"/>
      <c r="B77" s="50" t="s">
        <v>343</v>
      </c>
      <c r="C77" s="50" t="s">
        <v>344</v>
      </c>
      <c r="D77" s="50"/>
      <c r="E77" s="50"/>
      <c r="F77" s="50"/>
    </row>
    <row r="78" spans="1:6" s="87" customFormat="1" ht="18" customHeight="1">
      <c r="A78" s="50"/>
      <c r="B78" s="50" t="s">
        <v>345</v>
      </c>
      <c r="C78" s="50" t="s">
        <v>346</v>
      </c>
      <c r="D78" s="50"/>
      <c r="E78" s="50"/>
      <c r="F78" s="50"/>
    </row>
    <row r="79" spans="1:16" s="22" customFormat="1" ht="15.75">
      <c r="A79"/>
      <c r="B79" s="142"/>
      <c r="C79" s="120" t="s">
        <v>493</v>
      </c>
      <c r="D79"/>
      <c r="E79"/>
      <c r="F79"/>
      <c r="G79"/>
      <c r="H79"/>
      <c r="I79"/>
      <c r="J79"/>
      <c r="K79"/>
      <c r="L79"/>
      <c r="M79"/>
      <c r="N79"/>
      <c r="O79"/>
      <c r="P79" s="13"/>
    </row>
    <row r="80" spans="1:16" s="22" customFormat="1" ht="15.75">
      <c r="A80"/>
      <c r="B80" s="90"/>
      <c r="C80" s="50" t="s">
        <v>430</v>
      </c>
      <c r="D80"/>
      <c r="E80"/>
      <c r="F80"/>
      <c r="G80"/>
      <c r="H80"/>
      <c r="I80"/>
      <c r="J80"/>
      <c r="K80"/>
      <c r="L80"/>
      <c r="M80"/>
      <c r="N80"/>
      <c r="O80"/>
      <c r="P80" s="13"/>
    </row>
    <row r="81" spans="1:16" s="22" customFormat="1" ht="15.75">
      <c r="A81"/>
      <c r="B81" s="91"/>
      <c r="C81" s="50" t="s">
        <v>429</v>
      </c>
      <c r="D81"/>
      <c r="E81"/>
      <c r="F81"/>
      <c r="G81"/>
      <c r="H81"/>
      <c r="I81"/>
      <c r="J81"/>
      <c r="K81"/>
      <c r="L81"/>
      <c r="M81"/>
      <c r="N81"/>
      <c r="O81"/>
      <c r="P81" s="13"/>
    </row>
    <row r="82" spans="1:16" s="38" customFormat="1" ht="15.75">
      <c r="A82"/>
      <c r="B82" s="143"/>
      <c r="C82" s="86" t="s">
        <v>495</v>
      </c>
      <c r="D82"/>
      <c r="E82"/>
      <c r="F82"/>
      <c r="G82"/>
      <c r="H82"/>
      <c r="I82"/>
      <c r="J82"/>
      <c r="K82"/>
      <c r="L82"/>
      <c r="M82"/>
      <c r="N82"/>
      <c r="O82"/>
      <c r="P82" s="13"/>
    </row>
    <row r="83" spans="1:20" s="17" customFormat="1" ht="15.75">
      <c r="A83" s="24"/>
      <c r="B83" s="25"/>
      <c r="C83" s="392"/>
      <c r="D83" s="392"/>
      <c r="E83" s="392"/>
      <c r="F83" s="392"/>
      <c r="G83" s="392"/>
      <c r="H83" s="392"/>
      <c r="I83" s="392"/>
      <c r="J83" s="392"/>
      <c r="K83" s="392"/>
      <c r="L83" s="392"/>
      <c r="M83" s="392"/>
      <c r="N83" s="392"/>
      <c r="O83" s="254"/>
      <c r="P83" s="254"/>
      <c r="Q83" s="254"/>
      <c r="R83" s="254"/>
      <c r="S83" s="254"/>
      <c r="T83" s="254"/>
    </row>
    <row r="84" spans="7:26" ht="12.75">
      <c r="G84"/>
      <c r="K84" s="255"/>
      <c r="M84"/>
      <c r="N84"/>
      <c r="O84"/>
      <c r="P84"/>
      <c r="Q84"/>
      <c r="R84"/>
      <c r="S84" s="255"/>
      <c r="T84"/>
      <c r="U84"/>
      <c r="V84"/>
      <c r="W84"/>
      <c r="X84"/>
      <c r="Y84"/>
      <c r="Z84"/>
    </row>
    <row r="85" spans="7:26" ht="12" customHeight="1">
      <c r="G85"/>
      <c r="K85" s="255"/>
      <c r="M85"/>
      <c r="N85"/>
      <c r="O85"/>
      <c r="P85"/>
      <c r="Q85"/>
      <c r="R85"/>
      <c r="S85" s="255"/>
      <c r="T85"/>
      <c r="U85"/>
      <c r="V85"/>
      <c r="W85"/>
      <c r="X85"/>
      <c r="Y85"/>
      <c r="Z85"/>
    </row>
    <row r="86" spans="7:26" ht="12.75">
      <c r="G86"/>
      <c r="K86" s="255"/>
      <c r="M86"/>
      <c r="N86"/>
      <c r="O86"/>
      <c r="P86"/>
      <c r="Q86"/>
      <c r="R86"/>
      <c r="S86" s="255"/>
      <c r="T86"/>
      <c r="U86"/>
      <c r="V86"/>
      <c r="W86"/>
      <c r="X86"/>
      <c r="Y86"/>
      <c r="Z86"/>
    </row>
  </sheetData>
  <sheetProtection/>
  <mergeCells count="25">
    <mergeCell ref="AA55:AG55"/>
    <mergeCell ref="A2:Z2"/>
    <mergeCell ref="A3:Z3"/>
    <mergeCell ref="A4:Z4"/>
    <mergeCell ref="A6:B9"/>
    <mergeCell ref="C6:F6"/>
    <mergeCell ref="J6:P6"/>
    <mergeCell ref="G7:H7"/>
    <mergeCell ref="M8:O8"/>
    <mergeCell ref="D8:D9"/>
    <mergeCell ref="Y8:Z8"/>
    <mergeCell ref="K8:K9"/>
    <mergeCell ref="P8:P9"/>
    <mergeCell ref="Q6:Z6"/>
    <mergeCell ref="Q7:Q9"/>
    <mergeCell ref="R7:R9"/>
    <mergeCell ref="T7:Z7"/>
    <mergeCell ref="T8:T9"/>
    <mergeCell ref="C7:C9"/>
    <mergeCell ref="A10:B10"/>
    <mergeCell ref="A11:B11"/>
    <mergeCell ref="K7:P7"/>
    <mergeCell ref="F8:F9"/>
    <mergeCell ref="D7:F7"/>
    <mergeCell ref="J7:J9"/>
  </mergeCells>
  <printOptions/>
  <pageMargins left="0.55" right="0.2" top="1" bottom="0.5" header="0" footer="0"/>
  <pageSetup horizontalDpi="600" verticalDpi="600" orientation="landscape" paperSize="9" r:id="rId2"/>
  <drawing r:id="rId1"/>
</worksheet>
</file>

<file path=xl/worksheets/sheet12.xml><?xml version="1.0" encoding="utf-8"?>
<worksheet xmlns="http://schemas.openxmlformats.org/spreadsheetml/2006/main" xmlns:r="http://schemas.openxmlformats.org/officeDocument/2006/relationships">
  <dimension ref="A1:Y159"/>
  <sheetViews>
    <sheetView zoomScalePageLayoutView="0" workbookViewId="0" topLeftCell="A1">
      <pane ySplit="6450" topLeftCell="A63" activePane="bottomLeft" state="split"/>
      <selection pane="topLeft" activeCell="J9" sqref="J9:K9"/>
      <selection pane="bottomLeft" activeCell="S65" activeCellId="1" sqref="K65 S65"/>
    </sheetView>
  </sheetViews>
  <sheetFormatPr defaultColWidth="9.140625" defaultRowHeight="12.75"/>
  <cols>
    <col min="1" max="1" width="3.28125" style="0" customWidth="1"/>
    <col min="2" max="2" width="3.8515625" style="0" customWidth="1"/>
    <col min="3" max="3" width="9.57421875" style="0" customWidth="1"/>
    <col min="4" max="4" width="8.421875" style="0" customWidth="1"/>
    <col min="5" max="5" width="8.140625" style="345" customWidth="1"/>
    <col min="6" max="6" width="7.28125" style="0" customWidth="1"/>
    <col min="7" max="7" width="8.140625" style="0" customWidth="1"/>
    <col min="8" max="8" width="6.7109375" style="0" customWidth="1"/>
    <col min="10" max="10" width="7.421875" style="0" customWidth="1"/>
    <col min="11" max="11" width="8.00390625" style="0" customWidth="1"/>
    <col min="12" max="12" width="7.00390625" style="0" customWidth="1"/>
    <col min="13" max="13" width="7.7109375" style="0" customWidth="1"/>
    <col min="14" max="18" width="6.7109375" style="0" customWidth="1"/>
    <col min="19" max="19" width="7.8515625" style="0" customWidth="1"/>
    <col min="20" max="20" width="25.00390625" style="518" customWidth="1"/>
  </cols>
  <sheetData>
    <row r="1" spans="1:19" ht="15.75">
      <c r="A1" s="1015" t="s">
        <v>318</v>
      </c>
      <c r="B1" s="1015"/>
      <c r="C1" s="1015"/>
      <c r="D1" s="1015"/>
      <c r="E1" s="1015"/>
      <c r="F1" s="1015"/>
      <c r="G1" s="56"/>
      <c r="H1" s="56"/>
      <c r="I1" s="56"/>
      <c r="J1" s="56"/>
      <c r="K1" s="56"/>
      <c r="L1" s="56"/>
      <c r="M1" s="56"/>
      <c r="N1" s="56"/>
      <c r="O1" s="56"/>
      <c r="P1" s="520"/>
      <c r="Q1" s="520"/>
      <c r="R1" s="520"/>
      <c r="S1" s="520"/>
    </row>
    <row r="2" spans="1:19" ht="32.25" customHeight="1">
      <c r="A2" s="1016" t="s">
        <v>294</v>
      </c>
      <c r="B2" s="1016"/>
      <c r="C2" s="1016"/>
      <c r="D2" s="1016"/>
      <c r="E2" s="1016"/>
      <c r="F2" s="1016"/>
      <c r="G2" s="1016"/>
      <c r="H2" s="1016"/>
      <c r="I2" s="1016"/>
      <c r="J2" s="1016"/>
      <c r="K2" s="1016"/>
      <c r="L2" s="1016"/>
      <c r="M2" s="1016"/>
      <c r="N2" s="1016"/>
      <c r="O2" s="1016"/>
      <c r="P2" s="1016"/>
      <c r="Q2" s="1016"/>
      <c r="R2" s="1016"/>
      <c r="S2" s="1016"/>
    </row>
    <row r="3" spans="1:19" ht="27" customHeight="1">
      <c r="A3" s="1016" t="s">
        <v>295</v>
      </c>
      <c r="B3" s="1016"/>
      <c r="C3" s="1016"/>
      <c r="D3" s="1016"/>
      <c r="E3" s="1016"/>
      <c r="F3" s="1016"/>
      <c r="G3" s="1016"/>
      <c r="H3" s="1016"/>
      <c r="I3" s="1016"/>
      <c r="J3" s="1016"/>
      <c r="K3" s="1016"/>
      <c r="L3" s="1016"/>
      <c r="M3" s="1016"/>
      <c r="N3" s="1016"/>
      <c r="O3" s="1016"/>
      <c r="P3" s="1016"/>
      <c r="Q3" s="1016"/>
      <c r="R3" s="1016"/>
      <c r="S3" s="1016"/>
    </row>
    <row r="4" spans="1:19" ht="18.75">
      <c r="A4" s="1017" t="s">
        <v>319</v>
      </c>
      <c r="B4" s="1017"/>
      <c r="C4" s="1017"/>
      <c r="D4" s="1017"/>
      <c r="E4" s="1017"/>
      <c r="F4" s="1017"/>
      <c r="G4" s="1017"/>
      <c r="H4" s="1017"/>
      <c r="I4" s="1017"/>
      <c r="J4" s="1017"/>
      <c r="K4" s="1017"/>
      <c r="L4" s="1017"/>
      <c r="M4" s="1017"/>
      <c r="N4" s="1017"/>
      <c r="O4" s="1017"/>
      <c r="P4" s="1017"/>
      <c r="Q4" s="1017"/>
      <c r="R4" s="1017"/>
      <c r="S4" s="1017"/>
    </row>
    <row r="5" spans="1:19" ht="15.75">
      <c r="A5" s="615"/>
      <c r="B5" s="615"/>
      <c r="C5" s="615"/>
      <c r="D5" s="615"/>
      <c r="E5" s="615"/>
      <c r="F5" s="615"/>
      <c r="G5" s="615"/>
      <c r="H5" s="615"/>
      <c r="I5" s="615"/>
      <c r="J5" s="615"/>
      <c r="K5" s="615"/>
      <c r="L5" s="615"/>
      <c r="M5" s="615"/>
      <c r="N5" s="615"/>
      <c r="O5" s="615"/>
      <c r="P5" s="615"/>
      <c r="Q5" s="1020" t="s">
        <v>296</v>
      </c>
      <c r="R5" s="1020"/>
      <c r="S5" s="1020"/>
    </row>
    <row r="6" spans="1:19" ht="15">
      <c r="A6" s="520"/>
      <c r="B6" s="520"/>
      <c r="C6" s="520"/>
      <c r="D6" s="520"/>
      <c r="E6" s="616"/>
      <c r="F6" s="520"/>
      <c r="G6" s="520"/>
      <c r="H6" s="520"/>
      <c r="I6" s="520"/>
      <c r="J6" s="520"/>
      <c r="K6" s="520"/>
      <c r="L6" s="520"/>
      <c r="M6" s="520"/>
      <c r="N6" s="520"/>
      <c r="O6" s="520"/>
      <c r="P6" s="520"/>
      <c r="Q6" s="520"/>
      <c r="R6" s="520"/>
      <c r="S6" s="520"/>
    </row>
    <row r="7" spans="1:19" ht="15.75">
      <c r="A7" s="1021"/>
      <c r="B7" s="1022"/>
      <c r="C7" s="1023"/>
      <c r="D7" s="1030" t="s">
        <v>297</v>
      </c>
      <c r="E7" s="1030"/>
      <c r="F7" s="1030"/>
      <c r="G7" s="1030"/>
      <c r="H7" s="1030"/>
      <c r="I7" s="1030"/>
      <c r="J7" s="1030"/>
      <c r="K7" s="1030"/>
      <c r="L7" s="1030" t="s">
        <v>298</v>
      </c>
      <c r="M7" s="1030"/>
      <c r="N7" s="1030"/>
      <c r="O7" s="1030"/>
      <c r="P7" s="1030"/>
      <c r="Q7" s="1030"/>
      <c r="R7" s="1030"/>
      <c r="S7" s="1030"/>
    </row>
    <row r="8" spans="1:19" ht="31.5" customHeight="1">
      <c r="A8" s="1024"/>
      <c r="B8" s="1025"/>
      <c r="C8" s="1026"/>
      <c r="D8" s="915" t="s">
        <v>511</v>
      </c>
      <c r="E8" s="915" t="s">
        <v>333</v>
      </c>
      <c r="F8" s="1012" t="s">
        <v>320</v>
      </c>
      <c r="G8" s="1013"/>
      <c r="H8" s="1013"/>
      <c r="I8" s="1013"/>
      <c r="J8" s="1013"/>
      <c r="K8" s="1014"/>
      <c r="L8" s="915" t="s">
        <v>511</v>
      </c>
      <c r="M8" s="915" t="s">
        <v>333</v>
      </c>
      <c r="N8" s="1012" t="s">
        <v>320</v>
      </c>
      <c r="O8" s="1013"/>
      <c r="P8" s="1013"/>
      <c r="Q8" s="1013"/>
      <c r="R8" s="1013"/>
      <c r="S8" s="1014"/>
    </row>
    <row r="9" spans="1:19" ht="30" customHeight="1">
      <c r="A9" s="1024"/>
      <c r="B9" s="1025"/>
      <c r="C9" s="1026"/>
      <c r="D9" s="915"/>
      <c r="E9" s="915"/>
      <c r="F9" s="915" t="s">
        <v>322</v>
      </c>
      <c r="G9" s="915" t="s">
        <v>299</v>
      </c>
      <c r="H9" s="915"/>
      <c r="I9" s="915"/>
      <c r="J9" s="915" t="s">
        <v>300</v>
      </c>
      <c r="K9" s="915"/>
      <c r="L9" s="915"/>
      <c r="M9" s="915"/>
      <c r="N9" s="915" t="s">
        <v>322</v>
      </c>
      <c r="O9" s="915" t="s">
        <v>299</v>
      </c>
      <c r="P9" s="915"/>
      <c r="Q9" s="915"/>
      <c r="R9" s="915" t="s">
        <v>300</v>
      </c>
      <c r="S9" s="915"/>
    </row>
    <row r="10" spans="1:19" ht="92.25" customHeight="1">
      <c r="A10" s="1027"/>
      <c r="B10" s="1028"/>
      <c r="C10" s="1029"/>
      <c r="D10" s="915"/>
      <c r="E10" s="915"/>
      <c r="F10" s="915"/>
      <c r="G10" s="157" t="s">
        <v>301</v>
      </c>
      <c r="H10" s="157" t="s">
        <v>302</v>
      </c>
      <c r="I10" s="259" t="s">
        <v>303</v>
      </c>
      <c r="J10" s="157" t="s">
        <v>304</v>
      </c>
      <c r="K10" s="157" t="s">
        <v>305</v>
      </c>
      <c r="L10" s="915"/>
      <c r="M10" s="915"/>
      <c r="N10" s="915"/>
      <c r="O10" s="157" t="s">
        <v>301</v>
      </c>
      <c r="P10" s="157" t="s">
        <v>302</v>
      </c>
      <c r="Q10" s="157" t="s">
        <v>306</v>
      </c>
      <c r="R10" s="157" t="s">
        <v>307</v>
      </c>
      <c r="S10" s="157" t="s">
        <v>308</v>
      </c>
    </row>
    <row r="11" spans="1:19" ht="15.75">
      <c r="A11" s="1012" t="s">
        <v>323</v>
      </c>
      <c r="B11" s="1013"/>
      <c r="C11" s="1014"/>
      <c r="D11" s="523">
        <v>-1</v>
      </c>
      <c r="E11" s="523">
        <v>-2</v>
      </c>
      <c r="F11" s="523">
        <v>-3</v>
      </c>
      <c r="G11" s="523">
        <v>-4</v>
      </c>
      <c r="H11" s="523">
        <v>-5</v>
      </c>
      <c r="I11" s="523">
        <v>-6</v>
      </c>
      <c r="J11" s="523">
        <v>-7</v>
      </c>
      <c r="K11" s="523">
        <v>-8</v>
      </c>
      <c r="L11" s="523">
        <v>-9</v>
      </c>
      <c r="M11" s="523">
        <v>-10</v>
      </c>
      <c r="N11" s="523">
        <v>-11</v>
      </c>
      <c r="O11" s="523">
        <v>-12</v>
      </c>
      <c r="P11" s="523">
        <v>-13</v>
      </c>
      <c r="Q11" s="523">
        <v>-14</v>
      </c>
      <c r="R11" s="523">
        <v>-15</v>
      </c>
      <c r="S11" s="523">
        <v>-16</v>
      </c>
    </row>
    <row r="12" spans="1:20" s="13" customFormat="1" ht="47.25" customHeight="1">
      <c r="A12" s="1033" t="s">
        <v>231</v>
      </c>
      <c r="B12" s="1034"/>
      <c r="C12" s="1035"/>
      <c r="D12" s="412">
        <f aca="true" t="shared" si="0" ref="D12:S12">SUM(D13:D75)</f>
        <v>121032.5</v>
      </c>
      <c r="E12" s="412">
        <f t="shared" si="0"/>
        <v>37541.5</v>
      </c>
      <c r="F12" s="412">
        <f t="shared" si="0"/>
        <v>83491</v>
      </c>
      <c r="G12" s="412">
        <f t="shared" si="0"/>
        <v>75386</v>
      </c>
      <c r="H12" s="412">
        <f t="shared" si="0"/>
        <v>2064</v>
      </c>
      <c r="I12" s="412">
        <f t="shared" si="0"/>
        <v>2</v>
      </c>
      <c r="J12" s="617">
        <f t="shared" si="0"/>
        <v>1722</v>
      </c>
      <c r="K12" s="412">
        <f t="shared" si="0"/>
        <v>75026</v>
      </c>
      <c r="L12" s="412">
        <f t="shared" si="0"/>
        <v>34435.5</v>
      </c>
      <c r="M12" s="412">
        <f t="shared" si="0"/>
        <v>11367.5</v>
      </c>
      <c r="N12" s="617">
        <f t="shared" si="0"/>
        <v>23068</v>
      </c>
      <c r="O12" s="617">
        <f t="shared" si="0"/>
        <v>14611</v>
      </c>
      <c r="P12" s="412">
        <f t="shared" si="0"/>
        <v>70</v>
      </c>
      <c r="Q12" s="412">
        <f t="shared" si="0"/>
        <v>0</v>
      </c>
      <c r="R12" s="412">
        <f t="shared" si="0"/>
        <v>116</v>
      </c>
      <c r="S12" s="412">
        <f t="shared" si="0"/>
        <v>22300</v>
      </c>
      <c r="T12" s="618"/>
    </row>
    <row r="13" spans="1:25" ht="18" customHeight="1">
      <c r="A13" s="540">
        <v>1</v>
      </c>
      <c r="B13" s="1018" t="s">
        <v>449</v>
      </c>
      <c r="C13" s="1019"/>
      <c r="D13" s="619">
        <f aca="true" t="shared" si="1" ref="D13:D44">E13+F13</f>
        <v>1242</v>
      </c>
      <c r="E13" s="416">
        <f>(F13/4)*2</f>
        <v>414</v>
      </c>
      <c r="F13" s="416">
        <f aca="true" t="shared" si="2" ref="F13:F29">SUM(G13:I13)</f>
        <v>828</v>
      </c>
      <c r="G13" s="10">
        <v>824</v>
      </c>
      <c r="H13" s="10">
        <v>4</v>
      </c>
      <c r="I13" s="10">
        <v>0</v>
      </c>
      <c r="J13" s="10">
        <v>0</v>
      </c>
      <c r="K13" s="10">
        <v>828</v>
      </c>
      <c r="L13" s="620">
        <f aca="true" t="shared" si="3" ref="L13:L44">M13+N13</f>
        <v>1110</v>
      </c>
      <c r="M13" s="529">
        <f>(N13/4)*2</f>
        <v>370</v>
      </c>
      <c r="N13" s="416">
        <v>740</v>
      </c>
      <c r="O13" s="10">
        <v>740</v>
      </c>
      <c r="P13" s="10">
        <v>0</v>
      </c>
      <c r="Q13" s="10">
        <v>0</v>
      </c>
      <c r="R13" s="10">
        <v>2</v>
      </c>
      <c r="S13" s="10">
        <v>738</v>
      </c>
      <c r="T13" s="530"/>
      <c r="U13" s="531"/>
      <c r="V13" s="531"/>
      <c r="W13" s="531"/>
      <c r="X13" s="531"/>
      <c r="Y13" s="531"/>
    </row>
    <row r="14" spans="1:25" ht="38.25" customHeight="1">
      <c r="A14" s="540">
        <v>2</v>
      </c>
      <c r="B14" s="1018" t="s">
        <v>233</v>
      </c>
      <c r="C14" s="1019"/>
      <c r="D14" s="619">
        <f t="shared" si="1"/>
        <v>1456</v>
      </c>
      <c r="E14" s="416">
        <v>485</v>
      </c>
      <c r="F14" s="416">
        <f t="shared" si="2"/>
        <v>971</v>
      </c>
      <c r="G14" s="10">
        <v>886</v>
      </c>
      <c r="H14" s="10">
        <v>85</v>
      </c>
      <c r="I14" s="10">
        <v>0</v>
      </c>
      <c r="J14" s="10">
        <v>2</v>
      </c>
      <c r="K14" s="10">
        <v>969</v>
      </c>
      <c r="L14" s="620">
        <f t="shared" si="3"/>
        <v>987</v>
      </c>
      <c r="M14" s="529">
        <f>(N14/4)*2</f>
        <v>329</v>
      </c>
      <c r="N14" s="416">
        <v>658</v>
      </c>
      <c r="O14" s="10">
        <v>650</v>
      </c>
      <c r="P14" s="10">
        <v>8</v>
      </c>
      <c r="Q14" s="10">
        <v>0</v>
      </c>
      <c r="R14" s="10">
        <v>4</v>
      </c>
      <c r="S14" s="10">
        <v>654</v>
      </c>
      <c r="T14" s="530"/>
      <c r="U14" s="531"/>
      <c r="V14" s="531"/>
      <c r="W14" s="531"/>
      <c r="X14" s="531"/>
      <c r="Y14" s="531"/>
    </row>
    <row r="15" spans="1:25" ht="18" customHeight="1">
      <c r="A15" s="540">
        <v>3</v>
      </c>
      <c r="B15" s="1018" t="s">
        <v>451</v>
      </c>
      <c r="C15" s="1019"/>
      <c r="D15" s="619">
        <f t="shared" si="1"/>
        <v>2460</v>
      </c>
      <c r="E15" s="416">
        <f>(F15/4)*2</f>
        <v>820</v>
      </c>
      <c r="F15" s="416">
        <f t="shared" si="2"/>
        <v>1640</v>
      </c>
      <c r="G15" s="10">
        <v>1543</v>
      </c>
      <c r="H15" s="10">
        <v>97</v>
      </c>
      <c r="I15" s="10">
        <v>0</v>
      </c>
      <c r="J15" s="10">
        <v>1</v>
      </c>
      <c r="K15" s="10">
        <v>1639</v>
      </c>
      <c r="L15" s="620">
        <f t="shared" si="3"/>
        <v>25.5</v>
      </c>
      <c r="M15" s="529">
        <f>(N15/4)*2</f>
        <v>8.5</v>
      </c>
      <c r="N15" s="416">
        <v>17</v>
      </c>
      <c r="O15" s="10">
        <v>17</v>
      </c>
      <c r="P15" s="10">
        <v>0</v>
      </c>
      <c r="Q15" s="10">
        <v>0</v>
      </c>
      <c r="R15" s="10">
        <v>1</v>
      </c>
      <c r="S15" s="10">
        <v>16</v>
      </c>
      <c r="T15" s="530"/>
      <c r="U15" s="531"/>
      <c r="V15" s="531"/>
      <c r="W15" s="531"/>
      <c r="X15" s="531"/>
      <c r="Y15" s="531"/>
    </row>
    <row r="16" spans="1:25" ht="18" customHeight="1">
      <c r="A16" s="540">
        <v>4</v>
      </c>
      <c r="B16" s="1031" t="s">
        <v>452</v>
      </c>
      <c r="C16" s="1032"/>
      <c r="D16" s="619">
        <f t="shared" si="1"/>
        <v>406.5</v>
      </c>
      <c r="E16" s="416">
        <f>(F16/4)*2</f>
        <v>135.5</v>
      </c>
      <c r="F16" s="416">
        <f t="shared" si="2"/>
        <v>271</v>
      </c>
      <c r="G16" s="10">
        <v>271</v>
      </c>
      <c r="H16" s="10">
        <v>0</v>
      </c>
      <c r="I16" s="10">
        <v>0</v>
      </c>
      <c r="J16" s="10">
        <v>1</v>
      </c>
      <c r="K16" s="10">
        <v>270</v>
      </c>
      <c r="L16" s="620">
        <f t="shared" si="3"/>
        <v>3</v>
      </c>
      <c r="M16" s="529">
        <f>(N16/4)*2</f>
        <v>1</v>
      </c>
      <c r="N16" s="416">
        <v>2</v>
      </c>
      <c r="O16" s="10">
        <v>2</v>
      </c>
      <c r="P16" s="10">
        <v>0</v>
      </c>
      <c r="Q16" s="10">
        <v>0</v>
      </c>
      <c r="R16" s="10">
        <v>0</v>
      </c>
      <c r="S16" s="10">
        <v>2</v>
      </c>
      <c r="T16" s="530"/>
      <c r="U16" s="531"/>
      <c r="V16" s="531"/>
      <c r="W16" s="531"/>
      <c r="X16" s="531"/>
      <c r="Y16" s="531"/>
    </row>
    <row r="17" spans="1:25" ht="18" customHeight="1">
      <c r="A17" s="540">
        <v>5</v>
      </c>
      <c r="B17" s="1031" t="s">
        <v>453</v>
      </c>
      <c r="C17" s="1032"/>
      <c r="D17" s="619">
        <f t="shared" si="1"/>
        <v>660</v>
      </c>
      <c r="E17" s="416">
        <f>(F17/4)*2</f>
        <v>220</v>
      </c>
      <c r="F17" s="416">
        <f t="shared" si="2"/>
        <v>440</v>
      </c>
      <c r="G17" s="10">
        <v>439</v>
      </c>
      <c r="H17" s="10">
        <v>1</v>
      </c>
      <c r="I17" s="10">
        <v>0</v>
      </c>
      <c r="J17" s="10">
        <v>1</v>
      </c>
      <c r="K17" s="10">
        <v>439</v>
      </c>
      <c r="L17" s="620">
        <f t="shared" si="3"/>
        <v>259.5</v>
      </c>
      <c r="M17" s="529">
        <f>(N17/4)*2</f>
        <v>86.5</v>
      </c>
      <c r="N17" s="416">
        <v>173</v>
      </c>
      <c r="O17" s="10">
        <v>173</v>
      </c>
      <c r="P17" s="10">
        <v>0</v>
      </c>
      <c r="Q17" s="10">
        <v>0</v>
      </c>
      <c r="R17" s="10">
        <v>2</v>
      </c>
      <c r="S17" s="10">
        <v>171</v>
      </c>
      <c r="T17" s="530"/>
      <c r="U17" s="531"/>
      <c r="V17" s="531"/>
      <c r="W17" s="531"/>
      <c r="X17" s="531"/>
      <c r="Y17" s="531"/>
    </row>
    <row r="18" spans="1:25" ht="18" customHeight="1">
      <c r="A18" s="540">
        <v>6</v>
      </c>
      <c r="B18" s="1031" t="s">
        <v>454</v>
      </c>
      <c r="C18" s="1032"/>
      <c r="D18" s="619">
        <f t="shared" si="1"/>
        <v>1635</v>
      </c>
      <c r="E18" s="415">
        <v>378</v>
      </c>
      <c r="F18" s="416">
        <f t="shared" si="2"/>
        <v>1257</v>
      </c>
      <c r="G18" s="10">
        <v>1073</v>
      </c>
      <c r="H18" s="10">
        <v>184</v>
      </c>
      <c r="I18" s="10">
        <v>0</v>
      </c>
      <c r="J18" s="10">
        <v>0</v>
      </c>
      <c r="K18" s="10">
        <v>1257</v>
      </c>
      <c r="L18" s="620">
        <f t="shared" si="3"/>
        <v>34</v>
      </c>
      <c r="M18" s="529">
        <v>11</v>
      </c>
      <c r="N18" s="416">
        <v>23</v>
      </c>
      <c r="O18" s="10">
        <v>23</v>
      </c>
      <c r="P18" s="10">
        <v>0</v>
      </c>
      <c r="Q18" s="10">
        <v>0</v>
      </c>
      <c r="R18" s="10">
        <v>0</v>
      </c>
      <c r="S18" s="10">
        <v>23</v>
      </c>
      <c r="T18" s="530"/>
      <c r="U18" s="531"/>
      <c r="V18" s="531"/>
      <c r="W18" s="531"/>
      <c r="X18" s="531"/>
      <c r="Y18" s="531"/>
    </row>
    <row r="19" spans="1:25" ht="18" customHeight="1">
      <c r="A19" s="540">
        <v>7</v>
      </c>
      <c r="B19" s="1031" t="s">
        <v>455</v>
      </c>
      <c r="C19" s="1032"/>
      <c r="D19" s="619">
        <f t="shared" si="1"/>
        <v>1212</v>
      </c>
      <c r="E19" s="415">
        <v>320</v>
      </c>
      <c r="F19" s="621">
        <f t="shared" si="2"/>
        <v>892</v>
      </c>
      <c r="G19" s="10">
        <v>892</v>
      </c>
      <c r="H19" s="622">
        <v>0</v>
      </c>
      <c r="I19" s="623">
        <v>0</v>
      </c>
      <c r="J19" s="624">
        <v>2</v>
      </c>
      <c r="K19" s="624">
        <v>0</v>
      </c>
      <c r="L19" s="620">
        <f t="shared" si="3"/>
        <v>491</v>
      </c>
      <c r="M19" s="533">
        <v>135</v>
      </c>
      <c r="N19" s="625">
        <v>356</v>
      </c>
      <c r="O19" s="548">
        <v>350</v>
      </c>
      <c r="P19" s="548">
        <v>4</v>
      </c>
      <c r="Q19" s="394"/>
      <c r="R19" s="10">
        <v>2</v>
      </c>
      <c r="S19" s="10">
        <v>354</v>
      </c>
      <c r="T19" s="530" t="s">
        <v>215</v>
      </c>
      <c r="U19" s="531"/>
      <c r="V19" s="531"/>
      <c r="W19" s="531"/>
      <c r="X19" s="531"/>
      <c r="Y19" s="531"/>
    </row>
    <row r="20" spans="1:25" ht="18" customHeight="1">
      <c r="A20" s="540">
        <v>8</v>
      </c>
      <c r="B20" s="1038" t="s">
        <v>456</v>
      </c>
      <c r="C20" s="1039"/>
      <c r="D20" s="715">
        <f t="shared" si="1"/>
        <v>3664</v>
      </c>
      <c r="E20" s="416">
        <v>1221</v>
      </c>
      <c r="F20" s="416">
        <f t="shared" si="2"/>
        <v>2443</v>
      </c>
      <c r="G20" s="10">
        <v>2442</v>
      </c>
      <c r="H20" s="10">
        <v>1</v>
      </c>
      <c r="I20" s="10">
        <v>0</v>
      </c>
      <c r="J20" s="10">
        <v>0</v>
      </c>
      <c r="K20" s="10">
        <v>2443</v>
      </c>
      <c r="L20" s="620">
        <f t="shared" si="3"/>
        <v>432</v>
      </c>
      <c r="M20" s="529">
        <f>(N20/4)*2</f>
        <v>144</v>
      </c>
      <c r="N20" s="416">
        <f>O20+P20+Q20</f>
        <v>288</v>
      </c>
      <c r="O20" s="10">
        <v>288</v>
      </c>
      <c r="P20" s="10">
        <v>0</v>
      </c>
      <c r="Q20" s="10">
        <v>0</v>
      </c>
      <c r="R20" s="10">
        <v>0</v>
      </c>
      <c r="S20" s="10">
        <v>288</v>
      </c>
      <c r="T20" s="530" t="s">
        <v>216</v>
      </c>
      <c r="U20" s="531"/>
      <c r="V20" s="531"/>
      <c r="W20" s="531"/>
      <c r="X20" s="531"/>
      <c r="Y20" s="531"/>
    </row>
    <row r="21" spans="1:25" ht="18" customHeight="1">
      <c r="A21" s="540">
        <v>9</v>
      </c>
      <c r="B21" s="1031" t="s">
        <v>457</v>
      </c>
      <c r="C21" s="1032"/>
      <c r="D21" s="619">
        <f t="shared" si="1"/>
        <v>1605</v>
      </c>
      <c r="E21" s="416">
        <f>(F21/4)*2</f>
        <v>535</v>
      </c>
      <c r="F21" s="416">
        <f t="shared" si="2"/>
        <v>1070</v>
      </c>
      <c r="G21" s="10">
        <v>903</v>
      </c>
      <c r="H21" s="10">
        <v>167</v>
      </c>
      <c r="I21" s="10">
        <v>0</v>
      </c>
      <c r="J21" s="10">
        <v>0</v>
      </c>
      <c r="K21" s="10">
        <v>1070</v>
      </c>
      <c r="L21" s="620">
        <f t="shared" si="3"/>
        <v>294</v>
      </c>
      <c r="M21" s="529">
        <f>(N21/4)*2</f>
        <v>98</v>
      </c>
      <c r="N21" s="416">
        <v>196</v>
      </c>
      <c r="O21" s="10">
        <v>196</v>
      </c>
      <c r="P21" s="10">
        <v>0</v>
      </c>
      <c r="Q21" s="10">
        <v>0</v>
      </c>
      <c r="R21" s="10">
        <v>0</v>
      </c>
      <c r="S21" s="10">
        <v>196</v>
      </c>
      <c r="T21" s="530"/>
      <c r="U21" s="531"/>
      <c r="V21" s="531"/>
      <c r="W21" s="531"/>
      <c r="X21" s="531"/>
      <c r="Y21" s="531"/>
    </row>
    <row r="22" spans="1:25" ht="18" customHeight="1">
      <c r="A22" s="540">
        <v>10</v>
      </c>
      <c r="B22" s="1031" t="s">
        <v>362</v>
      </c>
      <c r="C22" s="1032"/>
      <c r="D22" s="619">
        <f t="shared" si="1"/>
        <v>1593</v>
      </c>
      <c r="E22" s="537">
        <f>(F22/4)*2</f>
        <v>531</v>
      </c>
      <c r="F22" s="416">
        <f t="shared" si="2"/>
        <v>1062</v>
      </c>
      <c r="G22" s="10">
        <v>1042</v>
      </c>
      <c r="H22" s="10">
        <v>20</v>
      </c>
      <c r="I22" s="10">
        <v>0</v>
      </c>
      <c r="J22" s="10">
        <v>0</v>
      </c>
      <c r="K22" s="10">
        <v>1062</v>
      </c>
      <c r="L22" s="620">
        <f t="shared" si="3"/>
        <v>147</v>
      </c>
      <c r="M22" s="538">
        <f>(N22/4)*2</f>
        <v>49</v>
      </c>
      <c r="N22" s="416">
        <v>98</v>
      </c>
      <c r="O22" s="10">
        <v>98</v>
      </c>
      <c r="P22" s="10">
        <v>0</v>
      </c>
      <c r="Q22" s="10">
        <v>0</v>
      </c>
      <c r="R22" s="10">
        <v>0</v>
      </c>
      <c r="S22" s="10">
        <v>98</v>
      </c>
      <c r="T22" s="530"/>
      <c r="U22" s="531"/>
      <c r="V22" s="531"/>
      <c r="W22" s="531"/>
      <c r="X22" s="531"/>
      <c r="Y22" s="531"/>
    </row>
    <row r="23" spans="1:25" ht="18" customHeight="1">
      <c r="A23" s="540">
        <v>11</v>
      </c>
      <c r="B23" s="1031" t="s">
        <v>363</v>
      </c>
      <c r="C23" s="1032"/>
      <c r="D23" s="619">
        <f t="shared" si="1"/>
        <v>1597.5</v>
      </c>
      <c r="E23" s="416">
        <f>(F23/4)*2</f>
        <v>532.5</v>
      </c>
      <c r="F23" s="416">
        <f t="shared" si="2"/>
        <v>1065</v>
      </c>
      <c r="G23" s="10">
        <v>1040</v>
      </c>
      <c r="H23" s="10">
        <v>25</v>
      </c>
      <c r="I23" s="10">
        <v>0</v>
      </c>
      <c r="J23" s="10">
        <v>0</v>
      </c>
      <c r="K23" s="10">
        <v>1065</v>
      </c>
      <c r="L23" s="620">
        <f t="shared" si="3"/>
        <v>141</v>
      </c>
      <c r="M23" s="529">
        <f>(N23/4)*2</f>
        <v>47</v>
      </c>
      <c r="N23" s="416">
        <v>94</v>
      </c>
      <c r="O23" s="10">
        <v>94</v>
      </c>
      <c r="P23" s="10">
        <v>0</v>
      </c>
      <c r="Q23" s="10">
        <v>0</v>
      </c>
      <c r="R23" s="10">
        <v>0</v>
      </c>
      <c r="S23" s="10">
        <v>94</v>
      </c>
      <c r="T23" s="530"/>
      <c r="U23" s="531"/>
      <c r="V23" s="531"/>
      <c r="W23" s="531"/>
      <c r="X23" s="531"/>
      <c r="Y23" s="531"/>
    </row>
    <row r="24" spans="1:25" ht="18" customHeight="1">
      <c r="A24" s="540">
        <v>12</v>
      </c>
      <c r="B24" s="1031" t="s">
        <v>364</v>
      </c>
      <c r="C24" s="1032"/>
      <c r="D24" s="619">
        <f t="shared" si="1"/>
        <v>924</v>
      </c>
      <c r="E24" s="416">
        <f>(F24/4)*2</f>
        <v>308</v>
      </c>
      <c r="F24" s="416">
        <f t="shared" si="2"/>
        <v>616</v>
      </c>
      <c r="G24" s="10">
        <v>616</v>
      </c>
      <c r="H24" s="10">
        <v>0</v>
      </c>
      <c r="I24" s="10">
        <v>0</v>
      </c>
      <c r="J24" s="10">
        <v>1</v>
      </c>
      <c r="K24" s="10">
        <v>615</v>
      </c>
      <c r="L24" s="620">
        <f t="shared" si="3"/>
        <v>403</v>
      </c>
      <c r="M24" s="533">
        <v>134</v>
      </c>
      <c r="N24" s="416">
        <v>269</v>
      </c>
      <c r="O24" s="10">
        <v>269</v>
      </c>
      <c r="P24" s="10">
        <v>0</v>
      </c>
      <c r="Q24" s="10">
        <v>0</v>
      </c>
      <c r="R24" s="10">
        <v>0</v>
      </c>
      <c r="S24" s="10">
        <v>269</v>
      </c>
      <c r="T24" s="530"/>
      <c r="U24" s="531"/>
      <c r="V24" s="531"/>
      <c r="W24" s="531"/>
      <c r="X24" s="531"/>
      <c r="Y24" s="531"/>
    </row>
    <row r="25" spans="1:25" ht="18" customHeight="1">
      <c r="A25" s="540">
        <v>13</v>
      </c>
      <c r="B25" s="1031" t="s">
        <v>365</v>
      </c>
      <c r="C25" s="1032"/>
      <c r="D25" s="619">
        <f t="shared" si="1"/>
        <v>1942</v>
      </c>
      <c r="E25" s="416">
        <v>647</v>
      </c>
      <c r="F25" s="416">
        <f t="shared" si="2"/>
        <v>1295</v>
      </c>
      <c r="G25" s="10">
        <v>1292</v>
      </c>
      <c r="H25" s="10">
        <v>3</v>
      </c>
      <c r="I25" s="10">
        <v>0</v>
      </c>
      <c r="J25" s="10">
        <v>0</v>
      </c>
      <c r="K25" s="10">
        <v>1295</v>
      </c>
      <c r="L25" s="620">
        <f t="shared" si="3"/>
        <v>727</v>
      </c>
      <c r="M25" s="529">
        <v>242</v>
      </c>
      <c r="N25" s="416">
        <v>485</v>
      </c>
      <c r="O25" s="10">
        <v>485</v>
      </c>
      <c r="P25" s="10">
        <v>0</v>
      </c>
      <c r="Q25" s="10">
        <v>0</v>
      </c>
      <c r="R25" s="10">
        <v>1</v>
      </c>
      <c r="S25" s="10">
        <v>484</v>
      </c>
      <c r="T25" s="530"/>
      <c r="U25" s="531"/>
      <c r="V25" s="531"/>
      <c r="W25" s="531"/>
      <c r="X25" s="531"/>
      <c r="Y25" s="531"/>
    </row>
    <row r="26" spans="1:25" ht="18" customHeight="1">
      <c r="A26" s="540">
        <v>14</v>
      </c>
      <c r="B26" s="1031" t="s">
        <v>366</v>
      </c>
      <c r="C26" s="1032"/>
      <c r="D26" s="619">
        <f t="shared" si="1"/>
        <v>448</v>
      </c>
      <c r="E26" s="416">
        <v>150</v>
      </c>
      <c r="F26" s="416">
        <f t="shared" si="2"/>
        <v>298</v>
      </c>
      <c r="G26" s="10">
        <v>294</v>
      </c>
      <c r="H26" s="10">
        <v>4</v>
      </c>
      <c r="I26" s="10">
        <v>0</v>
      </c>
      <c r="J26" s="10">
        <v>0</v>
      </c>
      <c r="K26" s="10">
        <v>298</v>
      </c>
      <c r="L26" s="620">
        <f t="shared" si="3"/>
        <v>0</v>
      </c>
      <c r="M26" s="529">
        <v>0</v>
      </c>
      <c r="N26" s="416">
        <f>O26+P26+Q26</f>
        <v>0</v>
      </c>
      <c r="O26" s="10">
        <v>0</v>
      </c>
      <c r="P26" s="10">
        <v>0</v>
      </c>
      <c r="Q26" s="10">
        <v>0</v>
      </c>
      <c r="R26" s="10">
        <v>0</v>
      </c>
      <c r="S26" s="10">
        <v>0</v>
      </c>
      <c r="T26" s="530"/>
      <c r="U26" s="531"/>
      <c r="V26" s="531"/>
      <c r="W26" s="531"/>
      <c r="X26" s="531"/>
      <c r="Y26" s="531"/>
    </row>
    <row r="27" spans="1:25" ht="15.75">
      <c r="A27" s="540">
        <v>15</v>
      </c>
      <c r="B27" s="1031" t="s">
        <v>367</v>
      </c>
      <c r="C27" s="1032"/>
      <c r="D27" s="619">
        <f t="shared" si="1"/>
        <v>1158</v>
      </c>
      <c r="E27" s="416">
        <f>(F27/4)*2</f>
        <v>386</v>
      </c>
      <c r="F27" s="416">
        <f t="shared" si="2"/>
        <v>772</v>
      </c>
      <c r="G27" s="10">
        <v>720</v>
      </c>
      <c r="H27" s="10">
        <v>52</v>
      </c>
      <c r="I27" s="10">
        <v>0</v>
      </c>
      <c r="J27" s="10">
        <v>1</v>
      </c>
      <c r="K27" s="10">
        <v>771</v>
      </c>
      <c r="L27" s="620">
        <f t="shared" si="3"/>
        <v>837</v>
      </c>
      <c r="M27" s="529">
        <f>(N27/4)*2</f>
        <v>279</v>
      </c>
      <c r="N27" s="416">
        <v>558</v>
      </c>
      <c r="O27" s="10">
        <v>557</v>
      </c>
      <c r="P27" s="10">
        <v>1</v>
      </c>
      <c r="Q27" s="10">
        <v>0</v>
      </c>
      <c r="R27" s="10">
        <v>1</v>
      </c>
      <c r="S27" s="10">
        <v>557</v>
      </c>
      <c r="T27" s="530"/>
      <c r="U27" s="531"/>
      <c r="V27" s="531"/>
      <c r="W27" s="531"/>
      <c r="X27" s="531"/>
      <c r="Y27" s="531"/>
    </row>
    <row r="28" spans="1:25" ht="15.75">
      <c r="A28" s="540">
        <v>16</v>
      </c>
      <c r="B28" s="1031" t="s">
        <v>368</v>
      </c>
      <c r="C28" s="1032"/>
      <c r="D28" s="619">
        <f t="shared" si="1"/>
        <v>1195</v>
      </c>
      <c r="E28" s="416">
        <v>398</v>
      </c>
      <c r="F28" s="416">
        <f t="shared" si="2"/>
        <v>797</v>
      </c>
      <c r="G28" s="10">
        <v>797</v>
      </c>
      <c r="H28" s="10">
        <v>0</v>
      </c>
      <c r="I28" s="10">
        <v>0</v>
      </c>
      <c r="J28" s="10">
        <v>0</v>
      </c>
      <c r="K28" s="10">
        <v>797</v>
      </c>
      <c r="L28" s="620">
        <f t="shared" si="3"/>
        <v>402</v>
      </c>
      <c r="M28" s="529">
        <f>(N28/4)*2</f>
        <v>134</v>
      </c>
      <c r="N28" s="416">
        <v>268</v>
      </c>
      <c r="O28" s="10">
        <v>268</v>
      </c>
      <c r="P28" s="10">
        <v>0</v>
      </c>
      <c r="Q28" s="10">
        <v>0</v>
      </c>
      <c r="R28" s="10">
        <v>7</v>
      </c>
      <c r="S28" s="10">
        <v>261</v>
      </c>
      <c r="T28" s="530"/>
      <c r="U28" s="531"/>
      <c r="V28" s="531"/>
      <c r="W28" s="531"/>
      <c r="X28" s="531"/>
      <c r="Y28" s="531"/>
    </row>
    <row r="29" spans="1:25" ht="15.75">
      <c r="A29" s="540">
        <v>17</v>
      </c>
      <c r="B29" s="1031" t="s">
        <v>369</v>
      </c>
      <c r="C29" s="1032"/>
      <c r="D29" s="619">
        <f t="shared" si="1"/>
        <v>459</v>
      </c>
      <c r="E29" s="416">
        <f>(F29/4)*2</f>
        <v>153</v>
      </c>
      <c r="F29" s="416">
        <f t="shared" si="2"/>
        <v>306</v>
      </c>
      <c r="G29" s="10">
        <v>300</v>
      </c>
      <c r="H29" s="10">
        <v>6</v>
      </c>
      <c r="I29" s="10">
        <v>0</v>
      </c>
      <c r="J29" s="10">
        <v>1</v>
      </c>
      <c r="K29" s="10">
        <v>305</v>
      </c>
      <c r="L29" s="620">
        <f t="shared" si="3"/>
        <v>85.5</v>
      </c>
      <c r="M29" s="529">
        <f>(N29/4)*2</f>
        <v>28.5</v>
      </c>
      <c r="N29" s="416">
        <v>57</v>
      </c>
      <c r="O29" s="10">
        <v>56</v>
      </c>
      <c r="P29" s="10">
        <v>0</v>
      </c>
      <c r="Q29" s="10">
        <v>0</v>
      </c>
      <c r="R29" s="10">
        <v>1</v>
      </c>
      <c r="S29" s="10">
        <v>56</v>
      </c>
      <c r="T29" s="530"/>
      <c r="U29" s="531"/>
      <c r="V29" s="531"/>
      <c r="W29" s="531"/>
      <c r="X29" s="531"/>
      <c r="Y29" s="531"/>
    </row>
    <row r="30" spans="1:25" ht="15.75">
      <c r="A30" s="540">
        <v>18</v>
      </c>
      <c r="B30" s="1031" t="s">
        <v>370</v>
      </c>
      <c r="C30" s="1032"/>
      <c r="D30" s="619">
        <f t="shared" si="1"/>
        <v>456</v>
      </c>
      <c r="E30" s="415">
        <v>152</v>
      </c>
      <c r="F30" s="142">
        <v>304</v>
      </c>
      <c r="G30" s="626">
        <v>304</v>
      </c>
      <c r="H30" s="626">
        <v>0</v>
      </c>
      <c r="I30" s="626">
        <v>0</v>
      </c>
      <c r="J30" s="10">
        <v>0</v>
      </c>
      <c r="K30" s="10">
        <v>304</v>
      </c>
      <c r="L30" s="620">
        <f t="shared" si="3"/>
        <v>1</v>
      </c>
      <c r="M30" s="533">
        <v>0</v>
      </c>
      <c r="N30" s="416">
        <v>1</v>
      </c>
      <c r="O30" s="10">
        <v>1</v>
      </c>
      <c r="P30" s="10">
        <v>0</v>
      </c>
      <c r="Q30" s="10">
        <v>0</v>
      </c>
      <c r="R30" s="10">
        <v>0</v>
      </c>
      <c r="S30" s="10">
        <v>1</v>
      </c>
      <c r="T30" s="530" t="s">
        <v>309</v>
      </c>
      <c r="U30" s="531"/>
      <c r="V30" s="531"/>
      <c r="W30" s="531"/>
      <c r="X30" s="531"/>
      <c r="Y30" s="531"/>
    </row>
    <row r="31" spans="1:25" ht="15.75">
      <c r="A31" s="540">
        <v>19</v>
      </c>
      <c r="B31" s="1036" t="s">
        <v>371</v>
      </c>
      <c r="C31" s="1037"/>
      <c r="D31" s="619">
        <f t="shared" si="1"/>
        <v>1824</v>
      </c>
      <c r="E31" s="416">
        <f>(F31/4)*2</f>
        <v>608</v>
      </c>
      <c r="F31" s="416">
        <f aca="true" t="shared" si="4" ref="F31:F40">SUM(G31:I31)</f>
        <v>1216</v>
      </c>
      <c r="G31" s="10">
        <v>1059</v>
      </c>
      <c r="H31" s="10">
        <v>157</v>
      </c>
      <c r="I31" s="10">
        <v>0</v>
      </c>
      <c r="J31" s="10">
        <v>3</v>
      </c>
      <c r="K31" s="10">
        <v>1213</v>
      </c>
      <c r="L31" s="620">
        <f t="shared" si="3"/>
        <v>2716</v>
      </c>
      <c r="M31" s="529">
        <v>905</v>
      </c>
      <c r="N31" s="627">
        <f aca="true" t="shared" si="5" ref="N31:N40">O31+P31+Q31</f>
        <v>1811</v>
      </c>
      <c r="O31" s="628">
        <v>1778</v>
      </c>
      <c r="P31" s="10">
        <v>33</v>
      </c>
      <c r="Q31" s="10">
        <v>0</v>
      </c>
      <c r="R31" s="10">
        <v>7</v>
      </c>
      <c r="S31" s="10">
        <v>1804</v>
      </c>
      <c r="T31" s="530"/>
      <c r="U31" s="531"/>
      <c r="V31" s="531"/>
      <c r="W31" s="531"/>
      <c r="X31" s="531"/>
      <c r="Y31" s="531"/>
    </row>
    <row r="32" spans="1:25" ht="15.75">
      <c r="A32" s="540">
        <v>20</v>
      </c>
      <c r="B32" s="1036" t="s">
        <v>372</v>
      </c>
      <c r="C32" s="1037"/>
      <c r="D32" s="619">
        <f t="shared" si="1"/>
        <v>1897</v>
      </c>
      <c r="E32" s="416">
        <v>632</v>
      </c>
      <c r="F32" s="416">
        <f t="shared" si="4"/>
        <v>1265</v>
      </c>
      <c r="G32" s="10">
        <v>1265</v>
      </c>
      <c r="H32" s="10">
        <v>0</v>
      </c>
      <c r="I32" s="10">
        <v>0</v>
      </c>
      <c r="J32" s="10">
        <v>0</v>
      </c>
      <c r="K32" s="10">
        <v>1265</v>
      </c>
      <c r="L32" s="620">
        <f t="shared" si="3"/>
        <v>457</v>
      </c>
      <c r="M32" s="529">
        <v>152</v>
      </c>
      <c r="N32" s="416">
        <f t="shared" si="5"/>
        <v>305</v>
      </c>
      <c r="O32" s="10">
        <v>305</v>
      </c>
      <c r="P32" s="10">
        <v>0</v>
      </c>
      <c r="Q32" s="10">
        <v>0</v>
      </c>
      <c r="R32" s="10">
        <v>0</v>
      </c>
      <c r="S32" s="10">
        <v>305</v>
      </c>
      <c r="T32" s="530"/>
      <c r="U32" s="531"/>
      <c r="V32" s="531"/>
      <c r="W32" s="531"/>
      <c r="X32" s="531"/>
      <c r="Y32" s="531"/>
    </row>
    <row r="33" spans="1:25" ht="15.75">
      <c r="A33" s="540">
        <v>21</v>
      </c>
      <c r="B33" s="1036" t="s">
        <v>373</v>
      </c>
      <c r="C33" s="1037"/>
      <c r="D33" s="619">
        <f t="shared" si="1"/>
        <v>840</v>
      </c>
      <c r="E33" s="416">
        <f>(F33/4)*2</f>
        <v>280</v>
      </c>
      <c r="F33" s="416">
        <f t="shared" si="4"/>
        <v>560</v>
      </c>
      <c r="G33" s="10">
        <v>560</v>
      </c>
      <c r="H33" s="10">
        <v>0</v>
      </c>
      <c r="I33" s="10">
        <v>0</v>
      </c>
      <c r="J33" s="10">
        <v>1</v>
      </c>
      <c r="K33" s="10">
        <v>559</v>
      </c>
      <c r="L33" s="620">
        <f t="shared" si="3"/>
        <v>172</v>
      </c>
      <c r="M33" s="533">
        <v>57</v>
      </c>
      <c r="N33" s="416">
        <f t="shared" si="5"/>
        <v>115</v>
      </c>
      <c r="O33" s="10">
        <v>115</v>
      </c>
      <c r="P33" s="10">
        <v>0</v>
      </c>
      <c r="Q33" s="10">
        <v>0</v>
      </c>
      <c r="R33" s="10">
        <v>0</v>
      </c>
      <c r="S33" s="10">
        <v>115</v>
      </c>
      <c r="T33" s="530"/>
      <c r="U33" s="531"/>
      <c r="V33" s="531"/>
      <c r="W33" s="531"/>
      <c r="X33" s="531"/>
      <c r="Y33" s="531"/>
    </row>
    <row r="34" spans="1:25" ht="15.75">
      <c r="A34" s="540">
        <v>22</v>
      </c>
      <c r="B34" s="1036" t="s">
        <v>374</v>
      </c>
      <c r="C34" s="1037"/>
      <c r="D34" s="619">
        <f t="shared" si="1"/>
        <v>217.5</v>
      </c>
      <c r="E34" s="416">
        <f>(F34/4)*2</f>
        <v>72.5</v>
      </c>
      <c r="F34" s="416">
        <f t="shared" si="4"/>
        <v>145</v>
      </c>
      <c r="G34" s="10">
        <v>145</v>
      </c>
      <c r="H34" s="10">
        <v>0</v>
      </c>
      <c r="I34" s="10">
        <v>0</v>
      </c>
      <c r="J34" s="10">
        <v>0</v>
      </c>
      <c r="K34" s="10">
        <v>145</v>
      </c>
      <c r="L34" s="620">
        <f t="shared" si="3"/>
        <v>6</v>
      </c>
      <c r="M34" s="529">
        <f>(N34/4)*2</f>
        <v>2</v>
      </c>
      <c r="N34" s="416">
        <f t="shared" si="5"/>
        <v>4</v>
      </c>
      <c r="O34" s="10">
        <v>4</v>
      </c>
      <c r="P34" s="10">
        <v>0</v>
      </c>
      <c r="Q34" s="10">
        <v>0</v>
      </c>
      <c r="R34" s="10">
        <v>0</v>
      </c>
      <c r="S34" s="10">
        <v>4</v>
      </c>
      <c r="T34" s="530"/>
      <c r="U34" s="531"/>
      <c r="V34" s="531"/>
      <c r="W34" s="531"/>
      <c r="X34" s="531"/>
      <c r="Y34" s="531"/>
    </row>
    <row r="35" spans="1:25" ht="15.75">
      <c r="A35" s="540">
        <v>23</v>
      </c>
      <c r="B35" s="1036" t="s">
        <v>375</v>
      </c>
      <c r="C35" s="1037"/>
      <c r="D35" s="619">
        <f t="shared" si="1"/>
        <v>922</v>
      </c>
      <c r="E35" s="415">
        <v>310</v>
      </c>
      <c r="F35" s="416">
        <f t="shared" si="4"/>
        <v>612</v>
      </c>
      <c r="G35" s="10">
        <v>609</v>
      </c>
      <c r="H35" s="10">
        <v>3</v>
      </c>
      <c r="I35" s="10">
        <v>0</v>
      </c>
      <c r="J35" s="10">
        <v>5</v>
      </c>
      <c r="K35" s="10">
        <v>607</v>
      </c>
      <c r="L35" s="620">
        <f t="shared" si="3"/>
        <v>16</v>
      </c>
      <c r="M35" s="533">
        <v>6</v>
      </c>
      <c r="N35" s="416">
        <f t="shared" si="5"/>
        <v>10</v>
      </c>
      <c r="O35" s="10">
        <v>10</v>
      </c>
      <c r="P35" s="10">
        <v>0</v>
      </c>
      <c r="Q35" s="10">
        <v>0</v>
      </c>
      <c r="R35" s="10">
        <v>0</v>
      </c>
      <c r="S35" s="10">
        <v>10</v>
      </c>
      <c r="T35" s="530"/>
      <c r="U35" s="531"/>
      <c r="V35" s="531"/>
      <c r="W35" s="531"/>
      <c r="X35" s="531"/>
      <c r="Y35" s="531"/>
    </row>
    <row r="36" spans="1:25" ht="15.75">
      <c r="A36" s="540">
        <v>24</v>
      </c>
      <c r="B36" s="1036" t="s">
        <v>376</v>
      </c>
      <c r="C36" s="1037"/>
      <c r="D36" s="619">
        <f t="shared" si="1"/>
        <v>12808.5</v>
      </c>
      <c r="E36" s="416">
        <f>(F36/4)*2</f>
        <v>4269.5</v>
      </c>
      <c r="F36" s="416">
        <f t="shared" si="4"/>
        <v>8539</v>
      </c>
      <c r="G36" s="10">
        <v>8203</v>
      </c>
      <c r="H36" s="10">
        <v>336</v>
      </c>
      <c r="I36" s="10">
        <v>0</v>
      </c>
      <c r="J36" s="10">
        <v>80</v>
      </c>
      <c r="K36" s="10">
        <v>8459</v>
      </c>
      <c r="L36" s="620">
        <f t="shared" si="3"/>
        <v>1462</v>
      </c>
      <c r="M36" s="533">
        <v>490</v>
      </c>
      <c r="N36" s="416">
        <f t="shared" si="5"/>
        <v>972</v>
      </c>
      <c r="O36" s="10">
        <v>957</v>
      </c>
      <c r="P36" s="10">
        <v>15</v>
      </c>
      <c r="Q36" s="10">
        <v>0</v>
      </c>
      <c r="R36" s="10">
        <v>5</v>
      </c>
      <c r="S36" s="10">
        <v>967</v>
      </c>
      <c r="T36" s="530"/>
      <c r="U36" s="541"/>
      <c r="V36" s="531"/>
      <c r="W36" s="531"/>
      <c r="X36" s="541"/>
      <c r="Y36" s="531"/>
    </row>
    <row r="37" spans="1:25" ht="15.75">
      <c r="A37" s="540">
        <v>25</v>
      </c>
      <c r="B37" s="1036" t="s">
        <v>377</v>
      </c>
      <c r="C37" s="1037"/>
      <c r="D37" s="619">
        <f t="shared" si="1"/>
        <v>5548</v>
      </c>
      <c r="E37" s="422">
        <v>1052</v>
      </c>
      <c r="F37" s="416">
        <f t="shared" si="4"/>
        <v>4496</v>
      </c>
      <c r="G37" s="10">
        <v>4484</v>
      </c>
      <c r="H37" s="10">
        <v>12</v>
      </c>
      <c r="I37" s="10">
        <v>0</v>
      </c>
      <c r="J37" s="10">
        <v>0</v>
      </c>
      <c r="K37" s="10">
        <v>4496</v>
      </c>
      <c r="L37" s="620">
        <f t="shared" si="3"/>
        <v>157</v>
      </c>
      <c r="M37" s="533">
        <v>31</v>
      </c>
      <c r="N37" s="416">
        <f t="shared" si="5"/>
        <v>126</v>
      </c>
      <c r="O37" s="10">
        <v>126</v>
      </c>
      <c r="P37" s="10">
        <v>0</v>
      </c>
      <c r="Q37" s="10">
        <v>0</v>
      </c>
      <c r="R37" s="10">
        <v>0</v>
      </c>
      <c r="S37" s="10">
        <v>126</v>
      </c>
      <c r="T37" s="530" t="s">
        <v>218</v>
      </c>
      <c r="U37" s="531"/>
      <c r="V37" s="531"/>
      <c r="W37" s="531"/>
      <c r="X37" s="531"/>
      <c r="Y37" s="531"/>
    </row>
    <row r="38" spans="1:25" ht="15.75">
      <c r="A38" s="540">
        <v>26</v>
      </c>
      <c r="B38" s="1036" t="s">
        <v>378</v>
      </c>
      <c r="C38" s="1037"/>
      <c r="D38" s="619">
        <f t="shared" si="1"/>
        <v>6456</v>
      </c>
      <c r="E38" s="537">
        <f>(F38/4)*2</f>
        <v>2152</v>
      </c>
      <c r="F38" s="416">
        <f t="shared" si="4"/>
        <v>4304</v>
      </c>
      <c r="G38" s="10">
        <v>4095</v>
      </c>
      <c r="H38" s="10">
        <v>209</v>
      </c>
      <c r="I38" s="10">
        <v>0</v>
      </c>
      <c r="J38" s="10">
        <v>18</v>
      </c>
      <c r="K38" s="10">
        <v>4286</v>
      </c>
      <c r="L38" s="620">
        <f t="shared" si="3"/>
        <v>292.5</v>
      </c>
      <c r="M38" s="538">
        <f>(N38/4)*2</f>
        <v>97.5</v>
      </c>
      <c r="N38" s="416">
        <f t="shared" si="5"/>
        <v>195</v>
      </c>
      <c r="O38" s="10">
        <v>188</v>
      </c>
      <c r="P38" s="10">
        <v>7</v>
      </c>
      <c r="Q38" s="10">
        <v>0</v>
      </c>
      <c r="R38" s="10">
        <v>1</v>
      </c>
      <c r="S38" s="10">
        <v>194</v>
      </c>
      <c r="T38" s="530"/>
      <c r="U38" s="531"/>
      <c r="V38" s="531"/>
      <c r="W38" s="531"/>
      <c r="X38" s="531"/>
      <c r="Y38" s="531"/>
    </row>
    <row r="39" spans="1:25" ht="15.75">
      <c r="A39" s="540">
        <v>27</v>
      </c>
      <c r="B39" s="1036" t="s">
        <v>379</v>
      </c>
      <c r="C39" s="1037"/>
      <c r="D39" s="619">
        <f t="shared" si="1"/>
        <v>3211.5</v>
      </c>
      <c r="E39" s="629">
        <f>(F39/4)*2</f>
        <v>1070.5</v>
      </c>
      <c r="F39" s="416">
        <f t="shared" si="4"/>
        <v>2141</v>
      </c>
      <c r="G39" s="10">
        <v>2103</v>
      </c>
      <c r="H39" s="10">
        <v>38</v>
      </c>
      <c r="I39" s="10">
        <v>0</v>
      </c>
      <c r="J39" s="10">
        <v>2</v>
      </c>
      <c r="K39" s="10">
        <v>2139</v>
      </c>
      <c r="L39" s="620">
        <f t="shared" si="3"/>
        <v>609</v>
      </c>
      <c r="M39" s="529">
        <f>(N39/4)*2</f>
        <v>203</v>
      </c>
      <c r="N39" s="416">
        <f t="shared" si="5"/>
        <v>406</v>
      </c>
      <c r="O39" s="10">
        <v>406</v>
      </c>
      <c r="P39" s="10">
        <v>0</v>
      </c>
      <c r="Q39" s="10">
        <v>0</v>
      </c>
      <c r="R39" s="10">
        <v>10</v>
      </c>
      <c r="S39" s="10">
        <v>396</v>
      </c>
      <c r="T39" s="530"/>
      <c r="U39" s="531"/>
      <c r="V39" s="531"/>
      <c r="W39" s="531"/>
      <c r="X39" s="531"/>
      <c r="Y39" s="531"/>
    </row>
    <row r="40" spans="1:25" ht="15.75">
      <c r="A40" s="540">
        <v>28</v>
      </c>
      <c r="B40" s="1036" t="s">
        <v>380</v>
      </c>
      <c r="C40" s="1037"/>
      <c r="D40" s="619">
        <f t="shared" si="1"/>
        <v>991.5</v>
      </c>
      <c r="E40" s="630">
        <f>(F40/4)*2</f>
        <v>330.5</v>
      </c>
      <c r="F40" s="416">
        <f t="shared" si="4"/>
        <v>661</v>
      </c>
      <c r="G40" s="10">
        <v>661</v>
      </c>
      <c r="H40" s="10">
        <v>0</v>
      </c>
      <c r="I40" s="10">
        <v>0</v>
      </c>
      <c r="J40" s="10">
        <v>0</v>
      </c>
      <c r="K40" s="10">
        <v>661</v>
      </c>
      <c r="L40" s="620">
        <f t="shared" si="3"/>
        <v>259.5</v>
      </c>
      <c r="M40" s="538">
        <f>(N40/4)*2</f>
        <v>86.5</v>
      </c>
      <c r="N40" s="416">
        <f t="shared" si="5"/>
        <v>173</v>
      </c>
      <c r="O40" s="10">
        <v>173</v>
      </c>
      <c r="P40" s="10">
        <v>0</v>
      </c>
      <c r="Q40" s="10">
        <v>0</v>
      </c>
      <c r="R40" s="10">
        <v>0</v>
      </c>
      <c r="S40" s="10">
        <v>173</v>
      </c>
      <c r="T40" s="530"/>
      <c r="U40" s="531"/>
      <c r="V40" s="531"/>
      <c r="W40" s="531"/>
      <c r="X40" s="531"/>
      <c r="Y40" s="531"/>
    </row>
    <row r="41" spans="1:25" ht="15.75">
      <c r="A41" s="540">
        <v>29</v>
      </c>
      <c r="B41" s="1036" t="s">
        <v>381</v>
      </c>
      <c r="C41" s="1037"/>
      <c r="D41" s="619">
        <f t="shared" si="1"/>
        <v>570</v>
      </c>
      <c r="E41" s="629">
        <f>(F41/4)*2</f>
        <v>190</v>
      </c>
      <c r="F41" s="416">
        <v>380</v>
      </c>
      <c r="G41" s="10">
        <v>377</v>
      </c>
      <c r="H41" s="10">
        <v>3</v>
      </c>
      <c r="I41" s="10">
        <v>0</v>
      </c>
      <c r="J41" s="10">
        <v>1</v>
      </c>
      <c r="K41" s="10">
        <v>379</v>
      </c>
      <c r="L41" s="620">
        <f t="shared" si="3"/>
        <v>76.5</v>
      </c>
      <c r="M41" s="529">
        <f>(N41/4)*2</f>
        <v>25.5</v>
      </c>
      <c r="N41" s="416">
        <v>51</v>
      </c>
      <c r="O41" s="10">
        <v>51</v>
      </c>
      <c r="P41" s="10">
        <v>0</v>
      </c>
      <c r="Q41" s="10">
        <v>0</v>
      </c>
      <c r="R41" s="10">
        <v>0</v>
      </c>
      <c r="S41" s="10">
        <v>51</v>
      </c>
      <c r="T41" s="530"/>
      <c r="U41" s="531"/>
      <c r="V41" s="531"/>
      <c r="W41" s="531"/>
      <c r="X41" s="531"/>
      <c r="Y41" s="531"/>
    </row>
    <row r="42" spans="1:25" ht="15.75">
      <c r="A42" s="540">
        <v>30</v>
      </c>
      <c r="B42" s="1036" t="s">
        <v>382</v>
      </c>
      <c r="C42" s="1037"/>
      <c r="D42" s="619">
        <f t="shared" si="1"/>
        <v>1384</v>
      </c>
      <c r="E42" s="631">
        <v>450</v>
      </c>
      <c r="F42" s="416">
        <v>934</v>
      </c>
      <c r="G42" s="10">
        <v>865</v>
      </c>
      <c r="H42" s="10">
        <v>69</v>
      </c>
      <c r="I42" s="10">
        <v>0</v>
      </c>
      <c r="J42" s="10">
        <v>0</v>
      </c>
      <c r="K42" s="10">
        <v>934</v>
      </c>
      <c r="L42" s="620">
        <f t="shared" si="3"/>
        <v>47</v>
      </c>
      <c r="M42" s="529">
        <v>15</v>
      </c>
      <c r="N42" s="621">
        <v>32</v>
      </c>
      <c r="O42" s="9">
        <v>32</v>
      </c>
      <c r="P42" s="9">
        <v>0</v>
      </c>
      <c r="Q42" s="10">
        <v>0</v>
      </c>
      <c r="R42" s="623">
        <v>0</v>
      </c>
      <c r="S42" s="623">
        <v>0</v>
      </c>
      <c r="T42" s="530" t="s">
        <v>310</v>
      </c>
      <c r="U42" s="531"/>
      <c r="V42" s="531"/>
      <c r="W42" s="531"/>
      <c r="X42" s="531"/>
      <c r="Y42" s="531"/>
    </row>
    <row r="43" spans="1:25" ht="15.75">
      <c r="A43" s="540">
        <v>31</v>
      </c>
      <c r="B43" s="1036" t="s">
        <v>383</v>
      </c>
      <c r="C43" s="1037"/>
      <c r="D43" s="619">
        <f t="shared" si="1"/>
        <v>1227</v>
      </c>
      <c r="E43" s="629">
        <f>(F43/4)*2</f>
        <v>409</v>
      </c>
      <c r="F43" s="416">
        <v>818</v>
      </c>
      <c r="G43" s="10">
        <v>758</v>
      </c>
      <c r="H43" s="10">
        <v>60</v>
      </c>
      <c r="I43" s="10">
        <v>0</v>
      </c>
      <c r="J43" s="10">
        <v>0</v>
      </c>
      <c r="K43" s="10">
        <v>818</v>
      </c>
      <c r="L43" s="620">
        <f t="shared" si="3"/>
        <v>1065</v>
      </c>
      <c r="M43" s="529">
        <f>(N43/4)*2</f>
        <v>355</v>
      </c>
      <c r="N43" s="416">
        <v>710</v>
      </c>
      <c r="O43" s="10">
        <v>710</v>
      </c>
      <c r="P43" s="10">
        <v>0</v>
      </c>
      <c r="Q43" s="10">
        <v>0</v>
      </c>
      <c r="R43" s="10">
        <v>5</v>
      </c>
      <c r="S43" s="10">
        <v>705</v>
      </c>
      <c r="T43" s="530"/>
      <c r="U43" s="531"/>
      <c r="V43" s="531"/>
      <c r="W43" s="531"/>
      <c r="X43" s="531"/>
      <c r="Y43" s="531"/>
    </row>
    <row r="44" spans="1:25" ht="15.75">
      <c r="A44" s="540">
        <v>32</v>
      </c>
      <c r="B44" s="1036" t="s">
        <v>384</v>
      </c>
      <c r="C44" s="1037"/>
      <c r="D44" s="619">
        <f t="shared" si="1"/>
        <v>3013.5</v>
      </c>
      <c r="E44" s="629">
        <f>(F44/4)*2</f>
        <v>1004.5</v>
      </c>
      <c r="F44" s="416">
        <v>2009</v>
      </c>
      <c r="G44" s="10">
        <v>2009</v>
      </c>
      <c r="H44" s="10">
        <v>0</v>
      </c>
      <c r="I44" s="10">
        <v>0</v>
      </c>
      <c r="J44" s="10">
        <v>0</v>
      </c>
      <c r="K44" s="10">
        <v>2009</v>
      </c>
      <c r="L44" s="620">
        <f t="shared" si="3"/>
        <v>726</v>
      </c>
      <c r="M44" s="529">
        <f>(N44/4)*2</f>
        <v>242</v>
      </c>
      <c r="N44" s="416">
        <v>484</v>
      </c>
      <c r="O44" s="10">
        <v>484</v>
      </c>
      <c r="P44" s="10">
        <v>0</v>
      </c>
      <c r="Q44" s="10">
        <v>0</v>
      </c>
      <c r="R44" s="10">
        <v>0</v>
      </c>
      <c r="S44" s="10">
        <v>484</v>
      </c>
      <c r="T44" s="530"/>
      <c r="U44" s="531"/>
      <c r="V44" s="531"/>
      <c r="W44" s="531"/>
      <c r="X44" s="531"/>
      <c r="Y44" s="531"/>
    </row>
    <row r="45" spans="1:25" ht="15.75">
      <c r="A45" s="540">
        <v>33</v>
      </c>
      <c r="B45" s="1036" t="s">
        <v>385</v>
      </c>
      <c r="C45" s="1037"/>
      <c r="D45" s="619">
        <f aca="true" t="shared" si="6" ref="D45:D75">E45+F45</f>
        <v>753</v>
      </c>
      <c r="E45" s="629">
        <f>(F45/4)*2</f>
        <v>251</v>
      </c>
      <c r="F45" s="416">
        <v>502</v>
      </c>
      <c r="G45" s="10">
        <v>502</v>
      </c>
      <c r="H45" s="10">
        <v>0</v>
      </c>
      <c r="I45" s="10">
        <v>0</v>
      </c>
      <c r="J45" s="10">
        <v>0</v>
      </c>
      <c r="K45" s="10">
        <v>502</v>
      </c>
      <c r="L45" s="620">
        <f aca="true" t="shared" si="7" ref="L45:L75">M45+N45</f>
        <v>39</v>
      </c>
      <c r="M45" s="529">
        <f>(N45/4)*2</f>
        <v>13</v>
      </c>
      <c r="N45" s="621">
        <v>26</v>
      </c>
      <c r="O45" s="10">
        <v>26</v>
      </c>
      <c r="P45" s="10">
        <v>0</v>
      </c>
      <c r="Q45" s="10">
        <v>0</v>
      </c>
      <c r="R45" s="623">
        <v>0</v>
      </c>
      <c r="S45" s="623">
        <v>0</v>
      </c>
      <c r="T45" s="530" t="s">
        <v>311</v>
      </c>
      <c r="U45" s="541"/>
      <c r="V45" s="541"/>
      <c r="W45" s="541"/>
      <c r="X45" s="541"/>
      <c r="Y45" s="541"/>
    </row>
    <row r="46" spans="1:25" ht="15.75">
      <c r="A46" s="540">
        <v>34</v>
      </c>
      <c r="B46" s="1036" t="s">
        <v>386</v>
      </c>
      <c r="C46" s="1037"/>
      <c r="D46" s="619">
        <f t="shared" si="6"/>
        <v>250.5</v>
      </c>
      <c r="E46" s="629">
        <f>(F46/4)*2</f>
        <v>83.5</v>
      </c>
      <c r="F46" s="621">
        <v>167</v>
      </c>
      <c r="G46" s="10">
        <v>166</v>
      </c>
      <c r="H46" s="10">
        <v>1</v>
      </c>
      <c r="I46" s="10">
        <v>0</v>
      </c>
      <c r="J46" s="623">
        <v>0</v>
      </c>
      <c r="K46" s="623"/>
      <c r="L46" s="620">
        <f t="shared" si="7"/>
        <v>0</v>
      </c>
      <c r="M46" s="529">
        <f>(N46/4)*2</f>
        <v>0</v>
      </c>
      <c r="N46" s="416">
        <f>O46+P46+Q46</f>
        <v>0</v>
      </c>
      <c r="O46" s="10">
        <v>0</v>
      </c>
      <c r="P46" s="10">
        <v>0</v>
      </c>
      <c r="Q46" s="10">
        <v>0</v>
      </c>
      <c r="R46" s="10">
        <v>0</v>
      </c>
      <c r="S46" s="10">
        <v>0</v>
      </c>
      <c r="T46" s="530" t="s">
        <v>313</v>
      </c>
      <c r="U46" s="531"/>
      <c r="V46" s="531"/>
      <c r="W46" s="531"/>
      <c r="X46" s="531"/>
      <c r="Y46" s="531"/>
    </row>
    <row r="47" spans="1:25" ht="15.75">
      <c r="A47" s="540">
        <v>35</v>
      </c>
      <c r="B47" s="1036" t="s">
        <v>387</v>
      </c>
      <c r="C47" s="1037"/>
      <c r="D47" s="619">
        <f t="shared" si="6"/>
        <v>787</v>
      </c>
      <c r="E47" s="629">
        <v>262</v>
      </c>
      <c r="F47" s="416">
        <v>525</v>
      </c>
      <c r="G47" s="10">
        <v>517</v>
      </c>
      <c r="H47" s="10">
        <v>8</v>
      </c>
      <c r="I47" s="10">
        <v>0</v>
      </c>
      <c r="J47" s="10">
        <v>1</v>
      </c>
      <c r="K47" s="10">
        <v>524</v>
      </c>
      <c r="L47" s="620">
        <f t="shared" si="7"/>
        <v>745</v>
      </c>
      <c r="M47" s="533">
        <v>248</v>
      </c>
      <c r="N47" s="416">
        <v>497</v>
      </c>
      <c r="O47" s="10">
        <v>497</v>
      </c>
      <c r="P47" s="10">
        <v>0</v>
      </c>
      <c r="Q47" s="10">
        <v>0</v>
      </c>
      <c r="R47" s="10">
        <v>2</v>
      </c>
      <c r="S47" s="10">
        <v>495</v>
      </c>
      <c r="T47" s="530"/>
      <c r="U47" s="531"/>
      <c r="V47" s="531"/>
      <c r="W47" s="531"/>
      <c r="X47" s="531"/>
      <c r="Y47" s="531"/>
    </row>
    <row r="48" spans="1:25" ht="15.75">
      <c r="A48" s="540">
        <v>36</v>
      </c>
      <c r="B48" s="1040" t="s">
        <v>388</v>
      </c>
      <c r="C48" s="1041"/>
      <c r="D48" s="619">
        <f t="shared" si="6"/>
        <v>316.5</v>
      </c>
      <c r="E48" s="629">
        <f>(F48/4)*2</f>
        <v>105.5</v>
      </c>
      <c r="F48" s="416">
        <v>211</v>
      </c>
      <c r="G48" s="10">
        <v>203</v>
      </c>
      <c r="H48" s="10">
        <v>8</v>
      </c>
      <c r="I48" s="10">
        <v>0</v>
      </c>
      <c r="J48" s="10">
        <v>1</v>
      </c>
      <c r="K48" s="10">
        <v>210</v>
      </c>
      <c r="L48" s="620">
        <f t="shared" si="7"/>
        <v>3</v>
      </c>
      <c r="M48" s="529">
        <f>(N48/4)*2</f>
        <v>1</v>
      </c>
      <c r="N48" s="416">
        <v>2</v>
      </c>
      <c r="O48" s="10">
        <v>2</v>
      </c>
      <c r="P48" s="10">
        <v>0</v>
      </c>
      <c r="Q48" s="10">
        <v>0</v>
      </c>
      <c r="R48" s="10">
        <v>0</v>
      </c>
      <c r="S48" s="10">
        <v>2</v>
      </c>
      <c r="T48" s="530"/>
      <c r="U48" s="531"/>
      <c r="V48" s="531"/>
      <c r="W48" s="531"/>
      <c r="X48" s="531"/>
      <c r="Y48" s="531"/>
    </row>
    <row r="49" spans="1:25" ht="15.75">
      <c r="A49" s="540">
        <v>37</v>
      </c>
      <c r="B49" s="1040" t="s">
        <v>389</v>
      </c>
      <c r="C49" s="1041"/>
      <c r="D49" s="619">
        <f t="shared" si="6"/>
        <v>420</v>
      </c>
      <c r="E49" s="629">
        <f>(F49/4)*2</f>
        <v>140</v>
      </c>
      <c r="F49" s="416">
        <v>280</v>
      </c>
      <c r="G49" s="10">
        <v>258</v>
      </c>
      <c r="H49" s="10">
        <v>22</v>
      </c>
      <c r="I49" s="10">
        <v>0</v>
      </c>
      <c r="J49" s="626">
        <v>0</v>
      </c>
      <c r="K49" s="10">
        <v>280</v>
      </c>
      <c r="L49" s="620">
        <f t="shared" si="7"/>
        <v>3</v>
      </c>
      <c r="M49" s="529">
        <f>(N49/4)*2</f>
        <v>1</v>
      </c>
      <c r="N49" s="416">
        <v>2</v>
      </c>
      <c r="O49" s="10">
        <v>2</v>
      </c>
      <c r="P49" s="10">
        <v>0</v>
      </c>
      <c r="Q49" s="10">
        <v>0</v>
      </c>
      <c r="R49" s="10">
        <v>0</v>
      </c>
      <c r="S49" s="10">
        <v>2</v>
      </c>
      <c r="T49" s="530"/>
      <c r="U49" s="531"/>
      <c r="V49" s="531"/>
      <c r="W49" s="531"/>
      <c r="X49" s="531"/>
      <c r="Y49" s="531"/>
    </row>
    <row r="50" spans="1:25" ht="15.75">
      <c r="A50" s="540">
        <v>38</v>
      </c>
      <c r="B50" s="1040" t="s">
        <v>390</v>
      </c>
      <c r="C50" s="1041"/>
      <c r="D50" s="619">
        <f t="shared" si="6"/>
        <v>838</v>
      </c>
      <c r="E50" s="629">
        <v>279</v>
      </c>
      <c r="F50" s="416">
        <v>559</v>
      </c>
      <c r="G50" s="10">
        <v>542</v>
      </c>
      <c r="H50" s="10">
        <v>17</v>
      </c>
      <c r="I50" s="10">
        <v>0</v>
      </c>
      <c r="J50" s="10">
        <v>1</v>
      </c>
      <c r="K50" s="10">
        <v>558</v>
      </c>
      <c r="L50" s="620">
        <f t="shared" si="7"/>
        <v>378</v>
      </c>
      <c r="M50" s="529">
        <f>(N50/4)*2</f>
        <v>126</v>
      </c>
      <c r="N50" s="416">
        <v>252</v>
      </c>
      <c r="O50" s="10">
        <v>252</v>
      </c>
      <c r="P50" s="10">
        <v>0</v>
      </c>
      <c r="Q50" s="10">
        <v>0</v>
      </c>
      <c r="R50" s="10">
        <v>1</v>
      </c>
      <c r="S50" s="10">
        <v>251</v>
      </c>
      <c r="T50" s="530"/>
      <c r="U50" s="531"/>
      <c r="V50" s="531"/>
      <c r="W50" s="531"/>
      <c r="X50" s="531"/>
      <c r="Y50" s="531"/>
    </row>
    <row r="51" spans="1:25" ht="15.75">
      <c r="A51" s="540">
        <v>39</v>
      </c>
      <c r="B51" s="1040" t="s">
        <v>391</v>
      </c>
      <c r="C51" s="1041"/>
      <c r="D51" s="619">
        <f t="shared" si="6"/>
        <v>2002</v>
      </c>
      <c r="E51" s="629">
        <v>667</v>
      </c>
      <c r="F51" s="621">
        <v>1335</v>
      </c>
      <c r="G51" s="10">
        <v>1333</v>
      </c>
      <c r="H51" s="10">
        <v>2</v>
      </c>
      <c r="I51" s="10">
        <v>0</v>
      </c>
      <c r="J51" s="623">
        <v>1343</v>
      </c>
      <c r="K51" s="623">
        <v>1327</v>
      </c>
      <c r="L51" s="620">
        <f t="shared" si="7"/>
        <v>51</v>
      </c>
      <c r="M51" s="529">
        <f>(N51/4)*2</f>
        <v>17</v>
      </c>
      <c r="N51" s="416">
        <v>34</v>
      </c>
      <c r="O51" s="10">
        <v>34</v>
      </c>
      <c r="P51" s="10">
        <v>0</v>
      </c>
      <c r="Q51" s="10">
        <v>0</v>
      </c>
      <c r="R51" s="10">
        <v>0</v>
      </c>
      <c r="S51" s="10">
        <v>34</v>
      </c>
      <c r="T51" s="530" t="s">
        <v>314</v>
      </c>
      <c r="U51" s="531"/>
      <c r="V51" s="531"/>
      <c r="W51" s="531"/>
      <c r="X51" s="531"/>
      <c r="Y51" s="531"/>
    </row>
    <row r="52" spans="1:25" ht="15.75">
      <c r="A52" s="540">
        <v>40</v>
      </c>
      <c r="B52" s="1040" t="s">
        <v>392</v>
      </c>
      <c r="C52" s="1041"/>
      <c r="D52" s="619">
        <f t="shared" si="6"/>
        <v>7363</v>
      </c>
      <c r="E52" s="631">
        <v>1200</v>
      </c>
      <c r="F52" s="621">
        <v>6163</v>
      </c>
      <c r="G52" s="10">
        <v>6159</v>
      </c>
      <c r="H52" s="10">
        <v>4</v>
      </c>
      <c r="I52" s="10">
        <v>0</v>
      </c>
      <c r="J52" s="623"/>
      <c r="K52" s="623"/>
      <c r="L52" s="620">
        <f t="shared" si="7"/>
        <v>40</v>
      </c>
      <c r="M52" s="533">
        <v>10</v>
      </c>
      <c r="N52" s="416">
        <v>30</v>
      </c>
      <c r="O52" s="10">
        <v>30</v>
      </c>
      <c r="P52" s="10">
        <v>0</v>
      </c>
      <c r="Q52" s="10">
        <v>0</v>
      </c>
      <c r="R52" s="10">
        <v>0</v>
      </c>
      <c r="S52" s="10">
        <v>30</v>
      </c>
      <c r="T52" s="530" t="s">
        <v>250</v>
      </c>
      <c r="U52" s="530"/>
      <c r="V52" s="531"/>
      <c r="W52" s="531"/>
      <c r="X52" s="531"/>
      <c r="Y52" s="531"/>
    </row>
    <row r="53" spans="1:25" ht="15.75">
      <c r="A53" s="540">
        <v>41</v>
      </c>
      <c r="B53" s="1040" t="s">
        <v>393</v>
      </c>
      <c r="C53" s="1041"/>
      <c r="D53" s="619">
        <f t="shared" si="6"/>
        <v>1504</v>
      </c>
      <c r="E53" s="631">
        <v>500</v>
      </c>
      <c r="F53" s="416">
        <v>1004</v>
      </c>
      <c r="G53" s="10">
        <v>998</v>
      </c>
      <c r="H53" s="10">
        <v>6</v>
      </c>
      <c r="I53" s="10">
        <v>0</v>
      </c>
      <c r="J53" s="10">
        <v>6</v>
      </c>
      <c r="K53" s="10">
        <v>998</v>
      </c>
      <c r="L53" s="620">
        <f t="shared" si="7"/>
        <v>9</v>
      </c>
      <c r="M53" s="529">
        <f>(N53/4)*2</f>
        <v>3</v>
      </c>
      <c r="N53" s="416">
        <v>6</v>
      </c>
      <c r="O53" s="10">
        <v>6</v>
      </c>
      <c r="P53" s="10">
        <v>0</v>
      </c>
      <c r="Q53" s="10">
        <v>0</v>
      </c>
      <c r="R53" s="10">
        <v>0</v>
      </c>
      <c r="S53" s="10">
        <v>6</v>
      </c>
      <c r="T53" s="530"/>
      <c r="U53" s="531"/>
      <c r="V53" s="531"/>
      <c r="W53" s="531"/>
      <c r="X53" s="531"/>
      <c r="Y53" s="531"/>
    </row>
    <row r="54" spans="1:25" ht="15.75">
      <c r="A54" s="540">
        <v>42</v>
      </c>
      <c r="B54" s="1040" t="s">
        <v>394</v>
      </c>
      <c r="C54" s="1041"/>
      <c r="D54" s="619">
        <f t="shared" si="6"/>
        <v>431</v>
      </c>
      <c r="E54" s="631">
        <v>72</v>
      </c>
      <c r="F54" s="416">
        <v>359</v>
      </c>
      <c r="G54" s="10">
        <v>358</v>
      </c>
      <c r="H54" s="10">
        <v>1</v>
      </c>
      <c r="I54" s="10">
        <v>0</v>
      </c>
      <c r="J54" s="10">
        <v>0</v>
      </c>
      <c r="K54" s="10">
        <v>359</v>
      </c>
      <c r="L54" s="620">
        <f t="shared" si="7"/>
        <v>304</v>
      </c>
      <c r="M54" s="533">
        <v>51</v>
      </c>
      <c r="N54" s="416">
        <v>253</v>
      </c>
      <c r="O54" s="10">
        <v>253</v>
      </c>
      <c r="P54" s="10">
        <v>0</v>
      </c>
      <c r="Q54" s="10">
        <v>0</v>
      </c>
      <c r="R54" s="10">
        <v>0</v>
      </c>
      <c r="S54" s="10">
        <v>253</v>
      </c>
      <c r="T54" s="530"/>
      <c r="U54" s="531"/>
      <c r="V54" s="531"/>
      <c r="W54" s="531"/>
      <c r="X54" s="531"/>
      <c r="Y54" s="531"/>
    </row>
    <row r="55" spans="1:25" ht="15.75">
      <c r="A55" s="540">
        <v>43</v>
      </c>
      <c r="B55" s="1040" t="s">
        <v>395</v>
      </c>
      <c r="C55" s="1041"/>
      <c r="D55" s="619">
        <f t="shared" si="6"/>
        <v>2181</v>
      </c>
      <c r="E55" s="629">
        <f aca="true" t="shared" si="8" ref="E55:E64">(F55/4)*2</f>
        <v>727</v>
      </c>
      <c r="F55" s="416">
        <v>1454</v>
      </c>
      <c r="G55" s="10">
        <v>1445</v>
      </c>
      <c r="H55" s="10">
        <v>9</v>
      </c>
      <c r="I55" s="10">
        <v>0</v>
      </c>
      <c r="J55" s="10">
        <v>0</v>
      </c>
      <c r="K55" s="10">
        <v>1454</v>
      </c>
      <c r="L55" s="620">
        <f t="shared" si="7"/>
        <v>24</v>
      </c>
      <c r="M55" s="529">
        <f aca="true" t="shared" si="9" ref="M55:M64">(N55/4)*2</f>
        <v>8</v>
      </c>
      <c r="N55" s="416">
        <v>16</v>
      </c>
      <c r="O55" s="10">
        <v>16</v>
      </c>
      <c r="P55" s="10">
        <v>0</v>
      </c>
      <c r="Q55" s="10">
        <v>0</v>
      </c>
      <c r="R55" s="10">
        <v>0</v>
      </c>
      <c r="S55" s="10">
        <v>16</v>
      </c>
      <c r="T55" s="530"/>
      <c r="U55" s="531"/>
      <c r="V55" s="531"/>
      <c r="W55" s="531"/>
      <c r="X55" s="531"/>
      <c r="Y55" s="531"/>
    </row>
    <row r="56" spans="1:25" ht="15.75">
      <c r="A56" s="540">
        <v>44</v>
      </c>
      <c r="B56" s="1040" t="s">
        <v>396</v>
      </c>
      <c r="C56" s="1041"/>
      <c r="D56" s="715">
        <f t="shared" si="6"/>
        <v>1638</v>
      </c>
      <c r="E56" s="629">
        <f t="shared" si="8"/>
        <v>546</v>
      </c>
      <c r="F56" s="416">
        <v>1092</v>
      </c>
      <c r="G56" s="10">
        <v>1065</v>
      </c>
      <c r="H56" s="10">
        <v>27</v>
      </c>
      <c r="I56" s="10">
        <v>0</v>
      </c>
      <c r="J56" s="10">
        <v>1</v>
      </c>
      <c r="K56" s="10">
        <v>1091</v>
      </c>
      <c r="L56" s="620">
        <f t="shared" si="7"/>
        <v>333</v>
      </c>
      <c r="M56" s="529">
        <f t="shared" si="9"/>
        <v>111</v>
      </c>
      <c r="N56" s="416">
        <v>222</v>
      </c>
      <c r="O56" s="10">
        <v>222</v>
      </c>
      <c r="P56" s="10">
        <v>0</v>
      </c>
      <c r="Q56" s="10">
        <v>0</v>
      </c>
      <c r="R56" s="10">
        <v>0</v>
      </c>
      <c r="S56" s="10">
        <v>222</v>
      </c>
      <c r="T56" s="530" t="s">
        <v>217</v>
      </c>
      <c r="U56" s="531"/>
      <c r="V56" s="531"/>
      <c r="W56" s="531"/>
      <c r="X56" s="531"/>
      <c r="Y56" s="531"/>
    </row>
    <row r="57" spans="1:25" ht="15.75">
      <c r="A57" s="540">
        <v>45</v>
      </c>
      <c r="B57" s="1044" t="s">
        <v>397</v>
      </c>
      <c r="C57" s="1045"/>
      <c r="D57" s="619">
        <f t="shared" si="6"/>
        <v>3138</v>
      </c>
      <c r="E57" s="629">
        <f t="shared" si="8"/>
        <v>1046</v>
      </c>
      <c r="F57" s="416">
        <f>SUM(G57:I57)</f>
        <v>2092</v>
      </c>
      <c r="G57" s="10">
        <v>2092</v>
      </c>
      <c r="H57" s="10">
        <v>0</v>
      </c>
      <c r="I57" s="10">
        <v>0</v>
      </c>
      <c r="J57" s="10">
        <v>1</v>
      </c>
      <c r="K57" s="10">
        <v>2091</v>
      </c>
      <c r="L57" s="620">
        <f t="shared" si="7"/>
        <v>156</v>
      </c>
      <c r="M57" s="529">
        <f t="shared" si="9"/>
        <v>52</v>
      </c>
      <c r="N57" s="416">
        <f>O57+P57+Q57</f>
        <v>104</v>
      </c>
      <c r="O57" s="10">
        <v>104</v>
      </c>
      <c r="P57" s="10">
        <v>0</v>
      </c>
      <c r="Q57" s="10">
        <v>0</v>
      </c>
      <c r="R57" s="10">
        <v>1</v>
      </c>
      <c r="S57" s="10">
        <v>103</v>
      </c>
      <c r="T57" s="530"/>
      <c r="U57" s="531"/>
      <c r="V57" s="531"/>
      <c r="W57" s="531"/>
      <c r="X57" s="531"/>
      <c r="Y57" s="531"/>
    </row>
    <row r="58" spans="1:25" ht="15.75">
      <c r="A58" s="540">
        <v>46</v>
      </c>
      <c r="B58" s="1042" t="s">
        <v>398</v>
      </c>
      <c r="C58" s="1043"/>
      <c r="D58" s="619">
        <f t="shared" si="6"/>
        <v>2137.5</v>
      </c>
      <c r="E58" s="629">
        <f t="shared" si="8"/>
        <v>712.5</v>
      </c>
      <c r="F58" s="416">
        <v>1425</v>
      </c>
      <c r="G58" s="10">
        <v>1393</v>
      </c>
      <c r="H58" s="10">
        <v>31</v>
      </c>
      <c r="I58" s="10">
        <v>1</v>
      </c>
      <c r="J58" s="10">
        <v>0</v>
      </c>
      <c r="K58" s="10">
        <v>1425</v>
      </c>
      <c r="L58" s="620">
        <f t="shared" si="7"/>
        <v>339</v>
      </c>
      <c r="M58" s="529">
        <f t="shared" si="9"/>
        <v>113</v>
      </c>
      <c r="N58" s="416">
        <v>226</v>
      </c>
      <c r="O58" s="10">
        <v>226</v>
      </c>
      <c r="P58" s="10">
        <v>0</v>
      </c>
      <c r="Q58" s="10">
        <v>0</v>
      </c>
      <c r="R58" s="10">
        <v>1</v>
      </c>
      <c r="S58" s="10">
        <v>225</v>
      </c>
      <c r="T58" s="530"/>
      <c r="U58" s="531"/>
      <c r="V58" s="531"/>
      <c r="W58" s="531"/>
      <c r="X58" s="531"/>
      <c r="Y58" s="531"/>
    </row>
    <row r="59" spans="1:25" ht="15.75">
      <c r="A59" s="540">
        <v>47</v>
      </c>
      <c r="B59" s="1042" t="s">
        <v>399</v>
      </c>
      <c r="C59" s="1043"/>
      <c r="D59" s="715">
        <f t="shared" si="6"/>
        <v>1878</v>
      </c>
      <c r="E59" s="629">
        <f t="shared" si="8"/>
        <v>626</v>
      </c>
      <c r="F59" s="416">
        <v>1252</v>
      </c>
      <c r="G59" s="623">
        <v>1521</v>
      </c>
      <c r="H59" s="10">
        <v>1</v>
      </c>
      <c r="I59" s="10">
        <v>0</v>
      </c>
      <c r="J59" s="10">
        <v>0</v>
      </c>
      <c r="K59" s="10">
        <v>1252</v>
      </c>
      <c r="L59" s="716">
        <f t="shared" si="7"/>
        <v>570</v>
      </c>
      <c r="M59" s="529">
        <f t="shared" si="9"/>
        <v>190</v>
      </c>
      <c r="N59" s="416">
        <v>380</v>
      </c>
      <c r="O59" s="10">
        <v>380</v>
      </c>
      <c r="P59" s="10">
        <v>0</v>
      </c>
      <c r="Q59" s="10">
        <v>0</v>
      </c>
      <c r="R59" s="10">
        <v>0</v>
      </c>
      <c r="S59" s="10">
        <v>380</v>
      </c>
      <c r="T59" s="530" t="s">
        <v>219</v>
      </c>
      <c r="U59" s="531"/>
      <c r="V59" s="531"/>
      <c r="W59" s="531"/>
      <c r="X59" s="531"/>
      <c r="Y59" s="531"/>
    </row>
    <row r="60" spans="1:25" ht="15.75">
      <c r="A60" s="540">
        <v>48</v>
      </c>
      <c r="B60" s="1042" t="s">
        <v>400</v>
      </c>
      <c r="C60" s="1043"/>
      <c r="D60" s="619">
        <f t="shared" si="6"/>
        <v>1629</v>
      </c>
      <c r="E60" s="630">
        <f t="shared" si="8"/>
        <v>543</v>
      </c>
      <c r="F60" s="621">
        <v>1086</v>
      </c>
      <c r="G60" s="10">
        <v>1060</v>
      </c>
      <c r="H60" s="10">
        <v>26</v>
      </c>
      <c r="I60" s="10">
        <v>0</v>
      </c>
      <c r="J60" s="623"/>
      <c r="K60" s="623"/>
      <c r="L60" s="620">
        <f t="shared" si="7"/>
        <v>228</v>
      </c>
      <c r="M60" s="538">
        <f t="shared" si="9"/>
        <v>76</v>
      </c>
      <c r="N60" s="621">
        <v>152</v>
      </c>
      <c r="O60" s="10">
        <v>152</v>
      </c>
      <c r="P60" s="10">
        <v>0</v>
      </c>
      <c r="Q60" s="10">
        <v>0</v>
      </c>
      <c r="R60" s="623"/>
      <c r="S60" s="624"/>
      <c r="T60" s="530" t="s">
        <v>315</v>
      </c>
      <c r="U60" s="531"/>
      <c r="V60" s="531"/>
      <c r="W60" s="531"/>
      <c r="X60" s="531"/>
      <c r="Y60" s="531"/>
    </row>
    <row r="61" spans="1:25" ht="15.75">
      <c r="A61" s="540">
        <v>49</v>
      </c>
      <c r="B61" s="1042" t="s">
        <v>401</v>
      </c>
      <c r="C61" s="1043"/>
      <c r="D61" s="619">
        <f t="shared" si="6"/>
        <v>1239</v>
      </c>
      <c r="E61" s="629">
        <f t="shared" si="8"/>
        <v>413</v>
      </c>
      <c r="F61" s="416">
        <v>826</v>
      </c>
      <c r="G61" s="10">
        <v>824</v>
      </c>
      <c r="H61" s="10">
        <v>2</v>
      </c>
      <c r="I61" s="10">
        <v>0</v>
      </c>
      <c r="J61" s="10">
        <v>2</v>
      </c>
      <c r="K61" s="10">
        <v>824</v>
      </c>
      <c r="L61" s="620">
        <f t="shared" si="7"/>
        <v>57</v>
      </c>
      <c r="M61" s="529">
        <f t="shared" si="9"/>
        <v>19</v>
      </c>
      <c r="N61" s="416">
        <v>38</v>
      </c>
      <c r="O61" s="10">
        <v>38</v>
      </c>
      <c r="P61" s="10">
        <v>0</v>
      </c>
      <c r="Q61" s="10">
        <v>0</v>
      </c>
      <c r="R61" s="10">
        <v>0</v>
      </c>
      <c r="S61" s="10">
        <v>38</v>
      </c>
      <c r="T61" s="530"/>
      <c r="U61" s="531"/>
      <c r="V61" s="531"/>
      <c r="W61" s="531"/>
      <c r="X61" s="531"/>
      <c r="Y61" s="531"/>
    </row>
    <row r="62" spans="1:25" ht="15.75">
      <c r="A62" s="540">
        <v>50</v>
      </c>
      <c r="B62" s="1042" t="s">
        <v>402</v>
      </c>
      <c r="C62" s="1043"/>
      <c r="D62" s="619">
        <f t="shared" si="6"/>
        <v>618</v>
      </c>
      <c r="E62" s="629">
        <f t="shared" si="8"/>
        <v>206</v>
      </c>
      <c r="F62" s="416">
        <v>412</v>
      </c>
      <c r="G62" s="10">
        <v>410</v>
      </c>
      <c r="H62" s="10">
        <v>2</v>
      </c>
      <c r="I62" s="10">
        <v>0</v>
      </c>
      <c r="J62" s="10">
        <v>0</v>
      </c>
      <c r="K62" s="10">
        <v>412</v>
      </c>
      <c r="L62" s="620">
        <f t="shared" si="7"/>
        <v>493.5</v>
      </c>
      <c r="M62" s="529">
        <f t="shared" si="9"/>
        <v>164.5</v>
      </c>
      <c r="N62" s="416">
        <v>329</v>
      </c>
      <c r="O62" s="10">
        <v>329</v>
      </c>
      <c r="P62" s="10">
        <v>0</v>
      </c>
      <c r="Q62" s="10">
        <v>0</v>
      </c>
      <c r="R62" s="10">
        <v>1</v>
      </c>
      <c r="S62" s="10">
        <v>328</v>
      </c>
      <c r="T62" s="530"/>
      <c r="U62" s="531"/>
      <c r="V62" s="531"/>
      <c r="W62" s="531"/>
      <c r="X62" s="531"/>
      <c r="Y62" s="531"/>
    </row>
    <row r="63" spans="1:25" ht="15.75">
      <c r="A63" s="540">
        <v>51</v>
      </c>
      <c r="B63" s="1042" t="s">
        <v>403</v>
      </c>
      <c r="C63" s="1043"/>
      <c r="D63" s="619">
        <f t="shared" si="6"/>
        <v>312</v>
      </c>
      <c r="E63" s="629">
        <f t="shared" si="8"/>
        <v>104</v>
      </c>
      <c r="F63" s="621">
        <v>208</v>
      </c>
      <c r="G63" s="10">
        <v>204</v>
      </c>
      <c r="H63" s="10">
        <v>3</v>
      </c>
      <c r="I63" s="10">
        <v>1</v>
      </c>
      <c r="J63" s="623">
        <v>208</v>
      </c>
      <c r="K63" s="623">
        <v>208</v>
      </c>
      <c r="L63" s="620">
        <f t="shared" si="7"/>
        <v>0</v>
      </c>
      <c r="M63" s="529">
        <f t="shared" si="9"/>
        <v>0</v>
      </c>
      <c r="N63" s="416">
        <f>O63+P63+Q63</f>
        <v>0</v>
      </c>
      <c r="O63" s="10">
        <v>0</v>
      </c>
      <c r="P63" s="10">
        <v>0</v>
      </c>
      <c r="Q63" s="10">
        <v>0</v>
      </c>
      <c r="R63" s="10">
        <v>0</v>
      </c>
      <c r="S63" s="10">
        <v>0</v>
      </c>
      <c r="T63" s="530" t="s">
        <v>316</v>
      </c>
      <c r="U63" s="531"/>
      <c r="V63" s="531"/>
      <c r="W63" s="531"/>
      <c r="X63" s="531"/>
      <c r="Y63" s="531"/>
    </row>
    <row r="64" spans="1:25" ht="15.75">
      <c r="A64" s="540">
        <v>52</v>
      </c>
      <c r="B64" s="1042" t="s">
        <v>404</v>
      </c>
      <c r="C64" s="1043"/>
      <c r="D64" s="619">
        <f t="shared" si="6"/>
        <v>730.5</v>
      </c>
      <c r="E64" s="629">
        <f t="shared" si="8"/>
        <v>243.5</v>
      </c>
      <c r="F64" s="416">
        <v>487</v>
      </c>
      <c r="G64" s="10">
        <v>420</v>
      </c>
      <c r="H64" s="10">
        <v>67</v>
      </c>
      <c r="I64" s="10">
        <v>0</v>
      </c>
      <c r="J64" s="10">
        <v>1</v>
      </c>
      <c r="K64" s="10">
        <v>486</v>
      </c>
      <c r="L64" s="620">
        <f t="shared" si="7"/>
        <v>462</v>
      </c>
      <c r="M64" s="529">
        <f t="shared" si="9"/>
        <v>154</v>
      </c>
      <c r="N64" s="416">
        <v>308</v>
      </c>
      <c r="O64" s="10">
        <v>308</v>
      </c>
      <c r="P64" s="10">
        <v>0</v>
      </c>
      <c r="Q64" s="10">
        <v>0</v>
      </c>
      <c r="R64" s="10">
        <v>2</v>
      </c>
      <c r="S64" s="10">
        <v>306</v>
      </c>
      <c r="T64" s="530"/>
      <c r="U64" s="531"/>
      <c r="V64" s="531"/>
      <c r="W64" s="531"/>
      <c r="X64" s="531"/>
      <c r="Y64" s="531"/>
    </row>
    <row r="65" spans="1:25" ht="15.75">
      <c r="A65" s="540">
        <v>53</v>
      </c>
      <c r="B65" s="1042" t="s">
        <v>405</v>
      </c>
      <c r="C65" s="1043"/>
      <c r="D65" s="619">
        <f t="shared" si="6"/>
        <v>2059</v>
      </c>
      <c r="E65" s="631">
        <v>400</v>
      </c>
      <c r="F65" s="416">
        <v>1659</v>
      </c>
      <c r="G65" s="10">
        <v>1616</v>
      </c>
      <c r="H65" s="10">
        <v>43</v>
      </c>
      <c r="I65" s="10">
        <v>0</v>
      </c>
      <c r="J65" s="10">
        <v>0</v>
      </c>
      <c r="K65" s="804">
        <v>1659</v>
      </c>
      <c r="L65" s="620">
        <f t="shared" si="7"/>
        <v>19</v>
      </c>
      <c r="M65" s="529">
        <v>0</v>
      </c>
      <c r="N65" s="416">
        <v>19</v>
      </c>
      <c r="O65" s="10">
        <v>19</v>
      </c>
      <c r="P65" s="10">
        <v>0</v>
      </c>
      <c r="Q65" s="10">
        <v>0</v>
      </c>
      <c r="R65" s="10">
        <v>0</v>
      </c>
      <c r="S65" s="804">
        <v>19</v>
      </c>
      <c r="T65" s="530"/>
      <c r="U65" s="531"/>
      <c r="V65" s="531"/>
      <c r="W65" s="531"/>
      <c r="X65" s="531"/>
      <c r="Y65" s="531"/>
    </row>
    <row r="66" spans="1:25" ht="15.75">
      <c r="A66" s="540">
        <v>54</v>
      </c>
      <c r="B66" s="1042" t="s">
        <v>406</v>
      </c>
      <c r="C66" s="1043"/>
      <c r="D66" s="619">
        <f t="shared" si="6"/>
        <v>1857</v>
      </c>
      <c r="E66" s="629">
        <f>(F66/4)*2</f>
        <v>619</v>
      </c>
      <c r="F66" s="416">
        <v>1238</v>
      </c>
      <c r="G66" s="10">
        <v>1234</v>
      </c>
      <c r="H66" s="10">
        <v>4</v>
      </c>
      <c r="I66" s="10">
        <v>0</v>
      </c>
      <c r="J66" s="10">
        <v>2</v>
      </c>
      <c r="K66" s="10">
        <v>1236</v>
      </c>
      <c r="L66" s="620">
        <f t="shared" si="7"/>
        <v>13</v>
      </c>
      <c r="M66" s="529">
        <v>4</v>
      </c>
      <c r="N66" s="416">
        <v>9</v>
      </c>
      <c r="O66" s="10">
        <v>9</v>
      </c>
      <c r="P66" s="10">
        <v>0</v>
      </c>
      <c r="Q66" s="10">
        <v>0</v>
      </c>
      <c r="R66" s="10">
        <v>0</v>
      </c>
      <c r="S66" s="10">
        <v>9</v>
      </c>
      <c r="T66" s="530"/>
      <c r="U66" s="531"/>
      <c r="V66" s="531"/>
      <c r="W66" s="531"/>
      <c r="X66" s="531"/>
      <c r="Y66" s="531"/>
    </row>
    <row r="67" spans="1:25" ht="15.75">
      <c r="A67" s="540">
        <v>55</v>
      </c>
      <c r="B67" s="1042" t="s">
        <v>407</v>
      </c>
      <c r="C67" s="1043"/>
      <c r="D67" s="619">
        <f t="shared" si="6"/>
        <v>5447</v>
      </c>
      <c r="E67" s="631">
        <v>1700</v>
      </c>
      <c r="F67" s="416">
        <v>3747</v>
      </c>
      <c r="G67" s="10">
        <v>3738</v>
      </c>
      <c r="H67" s="10">
        <v>9</v>
      </c>
      <c r="I67" s="10">
        <v>0</v>
      </c>
      <c r="J67" s="10">
        <v>0</v>
      </c>
      <c r="K67" s="10">
        <v>3747</v>
      </c>
      <c r="L67" s="620">
        <f t="shared" si="7"/>
        <v>34.5</v>
      </c>
      <c r="M67" s="529">
        <f aca="true" t="shared" si="10" ref="M67:M74">(N67/4)*2</f>
        <v>11.5</v>
      </c>
      <c r="N67" s="416">
        <v>23</v>
      </c>
      <c r="O67" s="10">
        <v>23</v>
      </c>
      <c r="P67" s="10">
        <v>0</v>
      </c>
      <c r="Q67" s="10">
        <v>0</v>
      </c>
      <c r="R67" s="10">
        <v>0</v>
      </c>
      <c r="S67" s="10">
        <v>23</v>
      </c>
      <c r="T67" s="530"/>
      <c r="U67" s="531"/>
      <c r="V67" s="531"/>
      <c r="W67" s="531"/>
      <c r="X67" s="531"/>
      <c r="Y67" s="531"/>
    </row>
    <row r="68" spans="1:25" ht="29.25" customHeight="1">
      <c r="A68" s="540">
        <v>56</v>
      </c>
      <c r="B68" s="1046" t="s">
        <v>408</v>
      </c>
      <c r="C68" s="1047"/>
      <c r="D68" s="619">
        <f t="shared" si="6"/>
        <v>2130</v>
      </c>
      <c r="E68" s="633">
        <f aca="true" t="shared" si="11" ref="E68:E74">(F68/4)*2</f>
        <v>710</v>
      </c>
      <c r="F68" s="416">
        <v>1420</v>
      </c>
      <c r="G68" s="10">
        <v>1405</v>
      </c>
      <c r="H68" s="10">
        <v>15</v>
      </c>
      <c r="I68" s="10">
        <v>0</v>
      </c>
      <c r="J68" s="10">
        <v>1</v>
      </c>
      <c r="K68" s="10">
        <v>1419</v>
      </c>
      <c r="L68" s="620">
        <f t="shared" si="7"/>
        <v>1101</v>
      </c>
      <c r="M68" s="529">
        <f t="shared" si="10"/>
        <v>367</v>
      </c>
      <c r="N68" s="416">
        <v>734</v>
      </c>
      <c r="O68" s="10">
        <v>734</v>
      </c>
      <c r="P68" s="10">
        <v>0</v>
      </c>
      <c r="Q68" s="10">
        <v>0</v>
      </c>
      <c r="R68" s="10">
        <v>10</v>
      </c>
      <c r="S68" s="10">
        <v>724</v>
      </c>
      <c r="T68" s="530"/>
      <c r="U68" s="531"/>
      <c r="V68" s="531"/>
      <c r="W68" s="531"/>
      <c r="X68" s="531"/>
      <c r="Y68" s="531"/>
    </row>
    <row r="69" spans="1:25" ht="15.75">
      <c r="A69" s="540">
        <v>57</v>
      </c>
      <c r="B69" s="1042" t="s">
        <v>409</v>
      </c>
      <c r="C69" s="1043"/>
      <c r="D69" s="619">
        <f t="shared" si="6"/>
        <v>1351.5</v>
      </c>
      <c r="E69" s="629">
        <f t="shared" si="11"/>
        <v>450.5</v>
      </c>
      <c r="F69" s="416">
        <v>901</v>
      </c>
      <c r="G69" s="10">
        <v>896</v>
      </c>
      <c r="H69" s="10">
        <v>5</v>
      </c>
      <c r="I69" s="10">
        <v>0</v>
      </c>
      <c r="J69" s="10">
        <v>0</v>
      </c>
      <c r="K69" s="10">
        <v>901</v>
      </c>
      <c r="L69" s="620">
        <f t="shared" si="7"/>
        <v>856.5</v>
      </c>
      <c r="M69" s="529">
        <f t="shared" si="10"/>
        <v>285.5</v>
      </c>
      <c r="N69" s="416">
        <v>571</v>
      </c>
      <c r="O69" s="10">
        <v>570</v>
      </c>
      <c r="P69" s="10">
        <v>1</v>
      </c>
      <c r="Q69" s="10">
        <v>0</v>
      </c>
      <c r="R69" s="10">
        <v>2</v>
      </c>
      <c r="S69" s="10">
        <v>569</v>
      </c>
      <c r="T69" s="530"/>
      <c r="U69" s="531"/>
      <c r="V69" s="531"/>
      <c r="W69" s="531"/>
      <c r="X69" s="531"/>
      <c r="Y69" s="531"/>
    </row>
    <row r="70" spans="1:25" ht="29.25" customHeight="1">
      <c r="A70" s="540">
        <v>58</v>
      </c>
      <c r="B70" s="1042" t="s">
        <v>410</v>
      </c>
      <c r="C70" s="1043"/>
      <c r="D70" s="619">
        <f t="shared" si="6"/>
        <v>9463.5</v>
      </c>
      <c r="E70" s="633">
        <f t="shared" si="11"/>
        <v>3154.5</v>
      </c>
      <c r="F70" s="416">
        <v>6309</v>
      </c>
      <c r="G70" s="10"/>
      <c r="H70" s="10"/>
      <c r="I70" s="10"/>
      <c r="J70" s="10">
        <v>32</v>
      </c>
      <c r="K70" s="10">
        <v>6277</v>
      </c>
      <c r="L70" s="634">
        <f t="shared" si="7"/>
        <v>12576</v>
      </c>
      <c r="M70" s="529">
        <f t="shared" si="10"/>
        <v>4192</v>
      </c>
      <c r="N70" s="627">
        <v>8384</v>
      </c>
      <c r="O70" s="10"/>
      <c r="P70" s="10"/>
      <c r="Q70" s="10"/>
      <c r="R70" s="10">
        <v>46</v>
      </c>
      <c r="S70" s="10">
        <v>8338</v>
      </c>
      <c r="T70" s="530"/>
      <c r="U70" s="531"/>
      <c r="V70" s="531"/>
      <c r="W70" s="531"/>
      <c r="X70" s="531"/>
      <c r="Y70" s="531"/>
    </row>
    <row r="71" spans="1:25" ht="15.75">
      <c r="A71" s="540">
        <v>59</v>
      </c>
      <c r="B71" s="1042" t="s">
        <v>411</v>
      </c>
      <c r="C71" s="1043"/>
      <c r="D71" s="619">
        <f t="shared" si="6"/>
        <v>811.5</v>
      </c>
      <c r="E71" s="629">
        <f t="shared" si="11"/>
        <v>270.5</v>
      </c>
      <c r="F71" s="416">
        <v>541</v>
      </c>
      <c r="G71" s="10">
        <v>339</v>
      </c>
      <c r="H71" s="10">
        <v>202</v>
      </c>
      <c r="I71" s="10">
        <v>0</v>
      </c>
      <c r="J71" s="10">
        <v>0</v>
      </c>
      <c r="K71" s="10">
        <v>541</v>
      </c>
      <c r="L71" s="620">
        <f t="shared" si="7"/>
        <v>486</v>
      </c>
      <c r="M71" s="529">
        <f t="shared" si="10"/>
        <v>162</v>
      </c>
      <c r="N71" s="416">
        <v>324</v>
      </c>
      <c r="O71" s="10">
        <v>324</v>
      </c>
      <c r="P71" s="10">
        <v>0</v>
      </c>
      <c r="Q71" s="10">
        <v>0</v>
      </c>
      <c r="R71" s="10">
        <v>1</v>
      </c>
      <c r="S71" s="10">
        <v>323</v>
      </c>
      <c r="T71" s="530"/>
      <c r="U71" s="531"/>
      <c r="V71" s="531"/>
      <c r="W71" s="531"/>
      <c r="X71" s="531"/>
      <c r="Y71" s="531"/>
    </row>
    <row r="72" spans="1:25" ht="15.75">
      <c r="A72" s="540">
        <v>60</v>
      </c>
      <c r="B72" s="1042" t="s">
        <v>412</v>
      </c>
      <c r="C72" s="1043"/>
      <c r="D72" s="619">
        <f t="shared" si="6"/>
        <v>384</v>
      </c>
      <c r="E72" s="629">
        <f t="shared" si="11"/>
        <v>128</v>
      </c>
      <c r="F72" s="416">
        <v>256</v>
      </c>
      <c r="G72" s="10">
        <v>256</v>
      </c>
      <c r="H72" s="10">
        <v>0</v>
      </c>
      <c r="I72" s="10">
        <v>0</v>
      </c>
      <c r="J72" s="10">
        <v>0</v>
      </c>
      <c r="K72" s="10">
        <v>256</v>
      </c>
      <c r="L72" s="620">
        <f t="shared" si="7"/>
        <v>6</v>
      </c>
      <c r="M72" s="529">
        <f t="shared" si="10"/>
        <v>2</v>
      </c>
      <c r="N72" s="416">
        <v>4</v>
      </c>
      <c r="O72" s="10">
        <v>4</v>
      </c>
      <c r="P72" s="10">
        <v>0</v>
      </c>
      <c r="Q72" s="10">
        <v>0</v>
      </c>
      <c r="R72" s="10">
        <v>0</v>
      </c>
      <c r="S72" s="10">
        <v>4</v>
      </c>
      <c r="T72" s="635"/>
      <c r="U72" s="531"/>
      <c r="V72" s="531"/>
      <c r="W72" s="531"/>
      <c r="X72" s="531"/>
      <c r="Y72" s="531"/>
    </row>
    <row r="73" spans="1:25" ht="15.75">
      <c r="A73" s="540">
        <v>61</v>
      </c>
      <c r="B73" s="1042" t="s">
        <v>413</v>
      </c>
      <c r="C73" s="1043"/>
      <c r="D73" s="619">
        <f t="shared" si="6"/>
        <v>1053</v>
      </c>
      <c r="E73" s="629">
        <f t="shared" si="11"/>
        <v>351</v>
      </c>
      <c r="F73" s="416">
        <v>702</v>
      </c>
      <c r="G73" s="10">
        <v>702</v>
      </c>
      <c r="H73" s="10">
        <v>0</v>
      </c>
      <c r="I73" s="10">
        <v>0</v>
      </c>
      <c r="J73" s="10">
        <v>0</v>
      </c>
      <c r="K73" s="10">
        <v>702</v>
      </c>
      <c r="L73" s="620">
        <f t="shared" si="7"/>
        <v>657</v>
      </c>
      <c r="M73" s="529">
        <f t="shared" si="10"/>
        <v>219</v>
      </c>
      <c r="N73" s="621">
        <v>438</v>
      </c>
      <c r="O73" s="10">
        <v>437</v>
      </c>
      <c r="P73" s="10">
        <v>1</v>
      </c>
      <c r="Q73" s="10">
        <v>0</v>
      </c>
      <c r="R73" s="632">
        <v>0</v>
      </c>
      <c r="S73" s="623">
        <v>0</v>
      </c>
      <c r="T73" s="635" t="s">
        <v>220</v>
      </c>
      <c r="U73" s="531" t="s">
        <v>317</v>
      </c>
      <c r="V73" s="531"/>
      <c r="W73" s="531"/>
      <c r="X73" s="531"/>
      <c r="Y73" s="531"/>
    </row>
    <row r="74" spans="1:25" ht="15.75">
      <c r="A74" s="540">
        <v>62</v>
      </c>
      <c r="B74" s="1042" t="s">
        <v>414</v>
      </c>
      <c r="C74" s="1043"/>
      <c r="D74" s="619">
        <f t="shared" si="6"/>
        <v>1003.5</v>
      </c>
      <c r="E74" s="629">
        <f t="shared" si="11"/>
        <v>334.5</v>
      </c>
      <c r="F74" s="621">
        <v>669</v>
      </c>
      <c r="G74" s="10">
        <v>657</v>
      </c>
      <c r="H74" s="10">
        <v>12</v>
      </c>
      <c r="I74" s="10">
        <v>0</v>
      </c>
      <c r="J74" s="632">
        <v>1</v>
      </c>
      <c r="K74" s="632">
        <v>688</v>
      </c>
      <c r="L74" s="620">
        <f t="shared" si="7"/>
        <v>6</v>
      </c>
      <c r="M74" s="529">
        <f t="shared" si="10"/>
        <v>2</v>
      </c>
      <c r="N74" s="621">
        <v>4</v>
      </c>
      <c r="O74" s="10">
        <v>4</v>
      </c>
      <c r="P74" s="10">
        <v>0</v>
      </c>
      <c r="Q74" s="10">
        <v>0</v>
      </c>
      <c r="R74" s="623">
        <v>0</v>
      </c>
      <c r="S74" s="623">
        <v>0</v>
      </c>
      <c r="T74" s="530" t="s">
        <v>221</v>
      </c>
      <c r="U74" s="531"/>
      <c r="V74" s="531"/>
      <c r="W74" s="531"/>
      <c r="X74" s="531"/>
      <c r="Y74" s="531"/>
    </row>
    <row r="75" spans="1:25" ht="15.75">
      <c r="A75" s="540">
        <v>63</v>
      </c>
      <c r="B75" s="1042" t="s">
        <v>415</v>
      </c>
      <c r="C75" s="1043"/>
      <c r="D75" s="619">
        <f t="shared" si="6"/>
        <v>283</v>
      </c>
      <c r="E75" s="422">
        <v>80</v>
      </c>
      <c r="F75" s="416">
        <v>203</v>
      </c>
      <c r="G75" s="10">
        <v>202</v>
      </c>
      <c r="H75" s="10">
        <v>1</v>
      </c>
      <c r="I75" s="10">
        <v>0</v>
      </c>
      <c r="J75" s="10">
        <v>1</v>
      </c>
      <c r="K75" s="10">
        <v>202</v>
      </c>
      <c r="L75" s="620">
        <f t="shared" si="7"/>
        <v>5</v>
      </c>
      <c r="M75" s="10">
        <v>1</v>
      </c>
      <c r="N75" s="416">
        <v>4</v>
      </c>
      <c r="O75" s="10">
        <v>4</v>
      </c>
      <c r="P75" s="10">
        <v>0</v>
      </c>
      <c r="Q75" s="10">
        <v>0</v>
      </c>
      <c r="R75" s="10">
        <v>0</v>
      </c>
      <c r="S75" s="10">
        <v>4</v>
      </c>
      <c r="T75" s="530"/>
      <c r="U75" s="531"/>
      <c r="V75" s="531"/>
      <c r="W75" s="531"/>
      <c r="X75" s="531"/>
      <c r="Y75" s="531"/>
    </row>
    <row r="76" spans="1:20" ht="15">
      <c r="A76" s="520"/>
      <c r="B76" s="520"/>
      <c r="C76" s="520"/>
      <c r="D76" s="520"/>
      <c r="E76" s="636"/>
      <c r="F76" s="637"/>
      <c r="G76" s="637"/>
      <c r="H76" s="637"/>
      <c r="I76" s="637"/>
      <c r="J76" s="637"/>
      <c r="K76" s="637"/>
      <c r="L76" s="637"/>
      <c r="M76" s="637"/>
      <c r="N76" s="637"/>
      <c r="O76" s="637"/>
      <c r="P76" s="637"/>
      <c r="Q76" s="637"/>
      <c r="R76" s="637"/>
      <c r="S76" s="637"/>
      <c r="T76" s="638"/>
    </row>
    <row r="77" spans="1:8" s="89" customFormat="1" ht="18" customHeight="1">
      <c r="A77" s="50"/>
      <c r="B77" s="50" t="s">
        <v>342</v>
      </c>
      <c r="D77" s="56" t="s">
        <v>494</v>
      </c>
      <c r="E77" s="50"/>
      <c r="F77" s="50"/>
      <c r="G77" s="88"/>
      <c r="H77" s="88"/>
    </row>
    <row r="78" spans="1:6" s="87" customFormat="1" ht="18" customHeight="1">
      <c r="A78" s="50"/>
      <c r="B78" s="50" t="s">
        <v>343</v>
      </c>
      <c r="D78" s="50" t="s">
        <v>344</v>
      </c>
      <c r="E78" s="50"/>
      <c r="F78" s="50"/>
    </row>
    <row r="79" spans="1:6" s="87" customFormat="1" ht="18" customHeight="1">
      <c r="A79" s="50"/>
      <c r="B79" s="50" t="s">
        <v>345</v>
      </c>
      <c r="D79" s="50" t="s">
        <v>346</v>
      </c>
      <c r="E79" s="50"/>
      <c r="F79" s="50"/>
    </row>
    <row r="80" spans="1:16" s="22" customFormat="1" ht="15.75">
      <c r="A80"/>
      <c r="B80" s="142"/>
      <c r="D80" s="120" t="s">
        <v>493</v>
      </c>
      <c r="E80"/>
      <c r="F80"/>
      <c r="G80"/>
      <c r="H80"/>
      <c r="I80"/>
      <c r="J80"/>
      <c r="K80"/>
      <c r="L80"/>
      <c r="M80"/>
      <c r="N80"/>
      <c r="O80"/>
      <c r="P80" s="13"/>
    </row>
    <row r="81" spans="1:16" s="22" customFormat="1" ht="15.75">
      <c r="A81"/>
      <c r="B81" s="90"/>
      <c r="D81" s="50" t="s">
        <v>430</v>
      </c>
      <c r="E81"/>
      <c r="F81"/>
      <c r="G81"/>
      <c r="H81"/>
      <c r="I81"/>
      <c r="J81"/>
      <c r="K81"/>
      <c r="L81"/>
      <c r="M81"/>
      <c r="N81"/>
      <c r="O81"/>
      <c r="P81" s="13"/>
    </row>
    <row r="82" spans="1:16" s="22" customFormat="1" ht="15.75">
      <c r="A82"/>
      <c r="B82" s="91"/>
      <c r="D82" s="50" t="s">
        <v>429</v>
      </c>
      <c r="E82"/>
      <c r="F82"/>
      <c r="G82"/>
      <c r="H82"/>
      <c r="I82"/>
      <c r="J82"/>
      <c r="K82"/>
      <c r="L82"/>
      <c r="M82"/>
      <c r="N82"/>
      <c r="O82"/>
      <c r="P82" s="13"/>
    </row>
    <row r="83" spans="1:16" s="38" customFormat="1" ht="15.75">
      <c r="A83"/>
      <c r="B83" s="143"/>
      <c r="D83" s="86" t="s">
        <v>495</v>
      </c>
      <c r="E83"/>
      <c r="F83"/>
      <c r="G83"/>
      <c r="H83"/>
      <c r="I83"/>
      <c r="J83"/>
      <c r="K83"/>
      <c r="L83"/>
      <c r="M83"/>
      <c r="N83"/>
      <c r="O83"/>
      <c r="P83" s="13"/>
    </row>
    <row r="84" spans="1:20" s="17" customFormat="1" ht="15.75">
      <c r="A84" s="24"/>
      <c r="B84" s="764"/>
      <c r="D84" s="765" t="s">
        <v>312</v>
      </c>
      <c r="E84" s="392"/>
      <c r="F84" s="392"/>
      <c r="G84" s="392"/>
      <c r="H84" s="392"/>
      <c r="I84" s="392"/>
      <c r="J84" s="392"/>
      <c r="K84" s="392"/>
      <c r="L84" s="392"/>
      <c r="M84" s="392"/>
      <c r="N84" s="392"/>
      <c r="O84" s="254"/>
      <c r="P84" s="254"/>
      <c r="Q84" s="254"/>
      <c r="R84" s="254"/>
      <c r="S84" s="254"/>
      <c r="T84" s="254"/>
    </row>
    <row r="85" spans="2:20" ht="15.75">
      <c r="B85" s="803"/>
      <c r="D85" s="765" t="s">
        <v>199</v>
      </c>
      <c r="E85"/>
      <c r="K85" s="255"/>
      <c r="S85" s="255"/>
      <c r="T85"/>
    </row>
    <row r="86" spans="5:20" ht="12" customHeight="1">
      <c r="E86"/>
      <c r="K86" s="255"/>
      <c r="S86" s="255"/>
      <c r="T86"/>
    </row>
    <row r="87" spans="5:20" ht="12.75">
      <c r="E87"/>
      <c r="K87" s="255"/>
      <c r="S87" s="255"/>
      <c r="T87"/>
    </row>
    <row r="88" spans="1:20" ht="15">
      <c r="A88" s="520"/>
      <c r="B88" s="520"/>
      <c r="C88" s="520"/>
      <c r="D88" s="520"/>
      <c r="E88" s="636"/>
      <c r="F88" s="637"/>
      <c r="G88" s="637"/>
      <c r="H88" s="637"/>
      <c r="I88" s="637"/>
      <c r="J88" s="637"/>
      <c r="K88" s="637"/>
      <c r="L88" s="637"/>
      <c r="M88" s="637"/>
      <c r="N88" s="637"/>
      <c r="O88" s="637"/>
      <c r="P88" s="637"/>
      <c r="Q88" s="637"/>
      <c r="R88" s="637"/>
      <c r="S88" s="637"/>
      <c r="T88" s="638"/>
    </row>
    <row r="89" spans="1:20" ht="15">
      <c r="A89" s="520"/>
      <c r="B89" s="520"/>
      <c r="C89" s="520"/>
      <c r="D89" s="520"/>
      <c r="E89" s="636"/>
      <c r="F89" s="637"/>
      <c r="G89" s="637"/>
      <c r="H89" s="637"/>
      <c r="I89" s="637"/>
      <c r="J89" s="637"/>
      <c r="K89" s="637"/>
      <c r="L89" s="637"/>
      <c r="M89" s="637"/>
      <c r="N89" s="637"/>
      <c r="O89" s="637"/>
      <c r="P89" s="637"/>
      <c r="Q89" s="637"/>
      <c r="R89" s="637"/>
      <c r="S89" s="637"/>
      <c r="T89" s="638"/>
    </row>
    <row r="90" spans="1:20" ht="15">
      <c r="A90" s="520"/>
      <c r="B90" s="520"/>
      <c r="C90" s="520"/>
      <c r="D90" s="520"/>
      <c r="E90" s="636"/>
      <c r="F90" s="637"/>
      <c r="G90" s="637"/>
      <c r="H90" s="637"/>
      <c r="I90" s="637"/>
      <c r="J90" s="637"/>
      <c r="K90" s="637"/>
      <c r="L90" s="637"/>
      <c r="M90" s="637"/>
      <c r="N90" s="637"/>
      <c r="O90" s="637"/>
      <c r="P90" s="637"/>
      <c r="Q90" s="637"/>
      <c r="R90" s="637"/>
      <c r="S90" s="637"/>
      <c r="T90" s="638"/>
    </row>
    <row r="91" spans="1:20" ht="15">
      <c r="A91" s="520"/>
      <c r="B91" s="520"/>
      <c r="C91" s="520"/>
      <c r="D91" s="520"/>
      <c r="E91" s="636"/>
      <c r="F91" s="637"/>
      <c r="G91" s="637"/>
      <c r="H91" s="637"/>
      <c r="I91" s="637"/>
      <c r="J91" s="637"/>
      <c r="K91" s="637"/>
      <c r="L91" s="637"/>
      <c r="M91" s="637"/>
      <c r="N91" s="637"/>
      <c r="O91" s="637"/>
      <c r="P91" s="637"/>
      <c r="Q91" s="637"/>
      <c r="R91" s="637"/>
      <c r="S91" s="637"/>
      <c r="T91" s="638"/>
    </row>
    <row r="92" spans="1:20" ht="15">
      <c r="A92" s="520"/>
      <c r="B92" s="520"/>
      <c r="C92" s="520"/>
      <c r="D92" s="520"/>
      <c r="E92" s="636"/>
      <c r="F92" s="637"/>
      <c r="G92" s="637"/>
      <c r="H92" s="637"/>
      <c r="I92" s="637"/>
      <c r="J92" s="637"/>
      <c r="K92" s="637"/>
      <c r="L92" s="637"/>
      <c r="M92" s="637"/>
      <c r="N92" s="637"/>
      <c r="O92" s="637"/>
      <c r="P92" s="637"/>
      <c r="Q92" s="637"/>
      <c r="R92" s="637"/>
      <c r="S92" s="637"/>
      <c r="T92" s="638"/>
    </row>
    <row r="93" spans="1:20" ht="15">
      <c r="A93" s="520"/>
      <c r="B93" s="520"/>
      <c r="C93" s="520"/>
      <c r="D93" s="520"/>
      <c r="E93" s="636"/>
      <c r="F93" s="637"/>
      <c r="G93" s="637"/>
      <c r="H93" s="637"/>
      <c r="I93" s="637"/>
      <c r="J93" s="637"/>
      <c r="K93" s="637"/>
      <c r="L93" s="637"/>
      <c r="M93" s="637"/>
      <c r="N93" s="637"/>
      <c r="O93" s="637"/>
      <c r="P93" s="637"/>
      <c r="Q93" s="637"/>
      <c r="R93" s="637"/>
      <c r="S93" s="637"/>
      <c r="T93" s="638"/>
    </row>
    <row r="94" spans="1:20" ht="15">
      <c r="A94" s="520"/>
      <c r="B94" s="520"/>
      <c r="C94" s="520"/>
      <c r="D94" s="520"/>
      <c r="E94" s="636"/>
      <c r="F94" s="637"/>
      <c r="G94" s="637"/>
      <c r="H94" s="637"/>
      <c r="I94" s="637"/>
      <c r="J94" s="637"/>
      <c r="K94" s="637"/>
      <c r="L94" s="637"/>
      <c r="M94" s="637"/>
      <c r="N94" s="637"/>
      <c r="O94" s="637"/>
      <c r="P94" s="637"/>
      <c r="Q94" s="637"/>
      <c r="R94" s="637"/>
      <c r="S94" s="637"/>
      <c r="T94" s="638"/>
    </row>
    <row r="95" spans="1:20" ht="15">
      <c r="A95" s="520"/>
      <c r="B95" s="520"/>
      <c r="C95" s="520"/>
      <c r="D95" s="520"/>
      <c r="E95" s="636"/>
      <c r="F95" s="637"/>
      <c r="G95" s="637"/>
      <c r="H95" s="637"/>
      <c r="I95" s="637"/>
      <c r="J95" s="637"/>
      <c r="K95" s="637"/>
      <c r="L95" s="637"/>
      <c r="M95" s="637"/>
      <c r="N95" s="637"/>
      <c r="O95" s="637"/>
      <c r="P95" s="637"/>
      <c r="Q95" s="637"/>
      <c r="R95" s="637"/>
      <c r="S95" s="637"/>
      <c r="T95" s="638"/>
    </row>
    <row r="96" spans="1:20" ht="15">
      <c r="A96" s="520"/>
      <c r="B96" s="520"/>
      <c r="C96" s="520"/>
      <c r="D96" s="520"/>
      <c r="E96" s="636"/>
      <c r="F96" s="637"/>
      <c r="G96" s="637"/>
      <c r="H96" s="637"/>
      <c r="I96" s="637"/>
      <c r="J96" s="637"/>
      <c r="K96" s="637"/>
      <c r="L96" s="637"/>
      <c r="M96" s="637"/>
      <c r="N96" s="637"/>
      <c r="O96" s="637"/>
      <c r="P96" s="637"/>
      <c r="Q96" s="637"/>
      <c r="R96" s="637"/>
      <c r="S96" s="637"/>
      <c r="T96" s="638"/>
    </row>
    <row r="97" spans="1:20" ht="15">
      <c r="A97" s="520"/>
      <c r="B97" s="520"/>
      <c r="C97" s="520"/>
      <c r="D97" s="520"/>
      <c r="E97" s="636"/>
      <c r="F97" s="637"/>
      <c r="G97" s="637"/>
      <c r="H97" s="637"/>
      <c r="I97" s="637"/>
      <c r="J97" s="637"/>
      <c r="K97" s="637"/>
      <c r="L97" s="637"/>
      <c r="M97" s="637"/>
      <c r="N97" s="637"/>
      <c r="O97" s="637"/>
      <c r="P97" s="637"/>
      <c r="Q97" s="637"/>
      <c r="R97" s="637"/>
      <c r="S97" s="637"/>
      <c r="T97" s="638"/>
    </row>
    <row r="98" spans="1:20" ht="15">
      <c r="A98" s="520"/>
      <c r="B98" s="520"/>
      <c r="C98" s="520"/>
      <c r="D98" s="520"/>
      <c r="E98" s="636"/>
      <c r="F98" s="637"/>
      <c r="G98" s="637"/>
      <c r="H98" s="637"/>
      <c r="I98" s="637"/>
      <c r="J98" s="637"/>
      <c r="K98" s="637"/>
      <c r="L98" s="637"/>
      <c r="M98" s="637"/>
      <c r="N98" s="637"/>
      <c r="O98" s="637"/>
      <c r="P98" s="637"/>
      <c r="Q98" s="637"/>
      <c r="R98" s="637"/>
      <c r="S98" s="637"/>
      <c r="T98" s="638"/>
    </row>
    <row r="99" spans="1:20" ht="15">
      <c r="A99" s="520"/>
      <c r="B99" s="520"/>
      <c r="C99" s="520"/>
      <c r="D99" s="520"/>
      <c r="E99" s="636"/>
      <c r="F99" s="637"/>
      <c r="G99" s="637"/>
      <c r="H99" s="637"/>
      <c r="I99" s="637"/>
      <c r="J99" s="637"/>
      <c r="K99" s="637"/>
      <c r="L99" s="637"/>
      <c r="M99" s="637"/>
      <c r="N99" s="637"/>
      <c r="O99" s="637"/>
      <c r="P99" s="637"/>
      <c r="Q99" s="637"/>
      <c r="R99" s="637"/>
      <c r="S99" s="637"/>
      <c r="T99" s="638"/>
    </row>
    <row r="100" spans="1:20" ht="15">
      <c r="A100" s="520"/>
      <c r="B100" s="520"/>
      <c r="C100" s="520"/>
      <c r="D100" s="520"/>
      <c r="E100" s="636"/>
      <c r="F100" s="637"/>
      <c r="G100" s="637"/>
      <c r="H100" s="637"/>
      <c r="I100" s="637"/>
      <c r="J100" s="637"/>
      <c r="K100" s="637"/>
      <c r="L100" s="637"/>
      <c r="M100" s="637"/>
      <c r="N100" s="637"/>
      <c r="O100" s="637"/>
      <c r="P100" s="637"/>
      <c r="Q100" s="637"/>
      <c r="R100" s="637"/>
      <c r="S100" s="637"/>
      <c r="T100" s="638"/>
    </row>
    <row r="101" spans="1:20" ht="15">
      <c r="A101" s="520"/>
      <c r="B101" s="520"/>
      <c r="C101" s="520"/>
      <c r="D101" s="520"/>
      <c r="E101" s="636"/>
      <c r="F101" s="637"/>
      <c r="G101" s="637"/>
      <c r="H101" s="637"/>
      <c r="I101" s="637"/>
      <c r="J101" s="637"/>
      <c r="K101" s="637"/>
      <c r="L101" s="637"/>
      <c r="M101" s="637"/>
      <c r="N101" s="637"/>
      <c r="O101" s="637"/>
      <c r="P101" s="637"/>
      <c r="Q101" s="637"/>
      <c r="R101" s="637"/>
      <c r="S101" s="637"/>
      <c r="T101" s="638"/>
    </row>
    <row r="102" spans="1:20" ht="15">
      <c r="A102" s="520"/>
      <c r="B102" s="520"/>
      <c r="C102" s="520"/>
      <c r="D102" s="520"/>
      <c r="E102" s="636"/>
      <c r="F102" s="637"/>
      <c r="G102" s="637"/>
      <c r="H102" s="637"/>
      <c r="I102" s="637"/>
      <c r="J102" s="637"/>
      <c r="K102" s="637"/>
      <c r="L102" s="637"/>
      <c r="M102" s="637"/>
      <c r="N102" s="637"/>
      <c r="O102" s="637"/>
      <c r="P102" s="637"/>
      <c r="Q102" s="637"/>
      <c r="R102" s="637"/>
      <c r="S102" s="637"/>
      <c r="T102" s="638"/>
    </row>
    <row r="103" spans="1:20" ht="15">
      <c r="A103" s="520"/>
      <c r="B103" s="520"/>
      <c r="C103" s="520"/>
      <c r="D103" s="520"/>
      <c r="E103" s="636"/>
      <c r="F103" s="637"/>
      <c r="G103" s="637"/>
      <c r="H103" s="637"/>
      <c r="I103" s="637"/>
      <c r="J103" s="637"/>
      <c r="K103" s="637"/>
      <c r="L103" s="637"/>
      <c r="M103" s="637"/>
      <c r="N103" s="637"/>
      <c r="O103" s="637"/>
      <c r="P103" s="637"/>
      <c r="Q103" s="637"/>
      <c r="R103" s="637"/>
      <c r="S103" s="637"/>
      <c r="T103" s="638"/>
    </row>
    <row r="104" spans="1:20" ht="15">
      <c r="A104" s="520"/>
      <c r="B104" s="520"/>
      <c r="C104" s="520"/>
      <c r="D104" s="520"/>
      <c r="E104" s="636"/>
      <c r="F104" s="637"/>
      <c r="G104" s="637"/>
      <c r="H104" s="637"/>
      <c r="I104" s="637"/>
      <c r="J104" s="637"/>
      <c r="K104" s="637"/>
      <c r="L104" s="637"/>
      <c r="M104" s="637"/>
      <c r="N104" s="637"/>
      <c r="O104" s="637"/>
      <c r="P104" s="637"/>
      <c r="Q104" s="637"/>
      <c r="R104" s="637"/>
      <c r="S104" s="637"/>
      <c r="T104" s="638"/>
    </row>
    <row r="105" spans="1:20" ht="15">
      <c r="A105" s="520"/>
      <c r="B105" s="520"/>
      <c r="C105" s="520"/>
      <c r="D105" s="520"/>
      <c r="E105" s="636"/>
      <c r="F105" s="637"/>
      <c r="G105" s="637"/>
      <c r="H105" s="637"/>
      <c r="I105" s="637"/>
      <c r="J105" s="637"/>
      <c r="K105" s="637"/>
      <c r="L105" s="637"/>
      <c r="M105" s="637"/>
      <c r="N105" s="637"/>
      <c r="O105" s="637"/>
      <c r="P105" s="637"/>
      <c r="Q105" s="637"/>
      <c r="R105" s="637"/>
      <c r="S105" s="637"/>
      <c r="T105" s="638"/>
    </row>
    <row r="106" spans="1:20" ht="15">
      <c r="A106" s="520"/>
      <c r="B106" s="520"/>
      <c r="C106" s="520"/>
      <c r="D106" s="520"/>
      <c r="E106" s="636"/>
      <c r="F106" s="637"/>
      <c r="G106" s="637"/>
      <c r="H106" s="637"/>
      <c r="I106" s="637"/>
      <c r="J106" s="637"/>
      <c r="K106" s="637"/>
      <c r="L106" s="637"/>
      <c r="M106" s="637"/>
      <c r="N106" s="637"/>
      <c r="O106" s="637"/>
      <c r="P106" s="637"/>
      <c r="Q106" s="637"/>
      <c r="R106" s="637"/>
      <c r="S106" s="637"/>
      <c r="T106" s="638"/>
    </row>
    <row r="107" spans="1:20" ht="15">
      <c r="A107" s="520"/>
      <c r="B107" s="520"/>
      <c r="C107" s="520"/>
      <c r="D107" s="520"/>
      <c r="E107" s="636"/>
      <c r="F107" s="637"/>
      <c r="G107" s="637"/>
      <c r="H107" s="637"/>
      <c r="I107" s="637"/>
      <c r="J107" s="637"/>
      <c r="K107" s="637"/>
      <c r="L107" s="637"/>
      <c r="M107" s="637"/>
      <c r="N107" s="637"/>
      <c r="O107" s="637"/>
      <c r="P107" s="637"/>
      <c r="Q107" s="637"/>
      <c r="R107" s="637"/>
      <c r="S107" s="637"/>
      <c r="T107" s="638"/>
    </row>
    <row r="108" spans="1:20" ht="15">
      <c r="A108" s="520"/>
      <c r="B108" s="520"/>
      <c r="C108" s="520"/>
      <c r="D108" s="520"/>
      <c r="E108" s="636"/>
      <c r="F108" s="637"/>
      <c r="G108" s="637"/>
      <c r="H108" s="637"/>
      <c r="I108" s="637"/>
      <c r="J108" s="637"/>
      <c r="K108" s="637"/>
      <c r="L108" s="637"/>
      <c r="M108" s="637"/>
      <c r="N108" s="637"/>
      <c r="O108" s="637"/>
      <c r="P108" s="637"/>
      <c r="Q108" s="637"/>
      <c r="R108" s="637"/>
      <c r="S108" s="637"/>
      <c r="T108" s="638"/>
    </row>
    <row r="109" spans="1:20" ht="15">
      <c r="A109" s="520"/>
      <c r="B109" s="520"/>
      <c r="C109" s="520"/>
      <c r="D109" s="520"/>
      <c r="E109" s="636"/>
      <c r="F109" s="637"/>
      <c r="G109" s="637"/>
      <c r="H109" s="637"/>
      <c r="I109" s="637"/>
      <c r="J109" s="637"/>
      <c r="K109" s="637"/>
      <c r="L109" s="637"/>
      <c r="M109" s="637"/>
      <c r="N109" s="637"/>
      <c r="O109" s="637"/>
      <c r="P109" s="637"/>
      <c r="Q109" s="637"/>
      <c r="R109" s="637"/>
      <c r="S109" s="637"/>
      <c r="T109" s="638"/>
    </row>
    <row r="110" spans="1:20" ht="15">
      <c r="A110" s="520"/>
      <c r="B110" s="520"/>
      <c r="C110" s="520"/>
      <c r="D110" s="520"/>
      <c r="E110" s="636"/>
      <c r="F110" s="637"/>
      <c r="G110" s="637"/>
      <c r="H110" s="637"/>
      <c r="I110" s="637"/>
      <c r="J110" s="637"/>
      <c r="K110" s="637"/>
      <c r="L110" s="637"/>
      <c r="M110" s="637"/>
      <c r="N110" s="637"/>
      <c r="O110" s="637"/>
      <c r="P110" s="637"/>
      <c r="Q110" s="637"/>
      <c r="R110" s="637"/>
      <c r="S110" s="637"/>
      <c r="T110" s="638"/>
    </row>
    <row r="111" spans="1:20" ht="15">
      <c r="A111" s="520"/>
      <c r="B111" s="520"/>
      <c r="C111" s="520"/>
      <c r="D111" s="520"/>
      <c r="E111" s="636"/>
      <c r="F111" s="637"/>
      <c r="G111" s="637"/>
      <c r="H111" s="637"/>
      <c r="I111" s="637"/>
      <c r="J111" s="637"/>
      <c r="K111" s="637"/>
      <c r="L111" s="637"/>
      <c r="M111" s="637"/>
      <c r="N111" s="637"/>
      <c r="O111" s="637"/>
      <c r="P111" s="637"/>
      <c r="Q111" s="637"/>
      <c r="R111" s="637"/>
      <c r="S111" s="637"/>
      <c r="T111" s="638"/>
    </row>
    <row r="112" spans="1:20" ht="15">
      <c r="A112" s="520"/>
      <c r="B112" s="520"/>
      <c r="C112" s="520"/>
      <c r="D112" s="520"/>
      <c r="E112" s="636"/>
      <c r="F112" s="637"/>
      <c r="G112" s="637"/>
      <c r="H112" s="637"/>
      <c r="I112" s="637"/>
      <c r="J112" s="637"/>
      <c r="K112" s="637"/>
      <c r="L112" s="637"/>
      <c r="M112" s="637"/>
      <c r="N112" s="637"/>
      <c r="O112" s="637"/>
      <c r="P112" s="637"/>
      <c r="Q112" s="637"/>
      <c r="R112" s="637"/>
      <c r="S112" s="637"/>
      <c r="T112" s="638"/>
    </row>
    <row r="113" spans="1:20" ht="15">
      <c r="A113" s="520"/>
      <c r="B113" s="520"/>
      <c r="C113" s="520"/>
      <c r="D113" s="520"/>
      <c r="E113" s="636"/>
      <c r="F113" s="637"/>
      <c r="G113" s="637"/>
      <c r="H113" s="637"/>
      <c r="I113" s="637"/>
      <c r="J113" s="637"/>
      <c r="K113" s="637"/>
      <c r="L113" s="637"/>
      <c r="M113" s="637"/>
      <c r="N113" s="637"/>
      <c r="O113" s="637"/>
      <c r="P113" s="637"/>
      <c r="Q113" s="637"/>
      <c r="R113" s="637"/>
      <c r="S113" s="637"/>
      <c r="T113" s="638"/>
    </row>
    <row r="114" spans="1:20" ht="15">
      <c r="A114" s="520"/>
      <c r="B114" s="520"/>
      <c r="C114" s="520"/>
      <c r="D114" s="520"/>
      <c r="E114" s="636"/>
      <c r="F114" s="637"/>
      <c r="G114" s="637"/>
      <c r="H114" s="637"/>
      <c r="I114" s="637"/>
      <c r="J114" s="637"/>
      <c r="K114" s="637"/>
      <c r="L114" s="637"/>
      <c r="M114" s="637"/>
      <c r="N114" s="637"/>
      <c r="O114" s="637"/>
      <c r="P114" s="637"/>
      <c r="Q114" s="637"/>
      <c r="R114" s="637"/>
      <c r="S114" s="637"/>
      <c r="T114" s="638"/>
    </row>
    <row r="115" spans="1:20" ht="15">
      <c r="A115" s="520"/>
      <c r="B115" s="520"/>
      <c r="C115" s="520"/>
      <c r="D115" s="520"/>
      <c r="E115" s="636"/>
      <c r="F115" s="637"/>
      <c r="G115" s="637"/>
      <c r="H115" s="637"/>
      <c r="I115" s="637"/>
      <c r="J115" s="637"/>
      <c r="K115" s="637"/>
      <c r="L115" s="637"/>
      <c r="M115" s="637"/>
      <c r="N115" s="637"/>
      <c r="O115" s="637"/>
      <c r="P115" s="637"/>
      <c r="Q115" s="637"/>
      <c r="R115" s="637"/>
      <c r="S115" s="637"/>
      <c r="T115" s="638"/>
    </row>
    <row r="116" spans="1:20" ht="15">
      <c r="A116" s="520"/>
      <c r="B116" s="520"/>
      <c r="C116" s="520"/>
      <c r="D116" s="520"/>
      <c r="E116" s="636"/>
      <c r="F116" s="637"/>
      <c r="G116" s="637"/>
      <c r="H116" s="637"/>
      <c r="I116" s="637"/>
      <c r="J116" s="637"/>
      <c r="K116" s="637"/>
      <c r="L116" s="637"/>
      <c r="M116" s="637"/>
      <c r="N116" s="637"/>
      <c r="O116" s="637"/>
      <c r="P116" s="637"/>
      <c r="Q116" s="637"/>
      <c r="R116" s="637"/>
      <c r="S116" s="637"/>
      <c r="T116" s="638"/>
    </row>
    <row r="117" spans="1:20" ht="15">
      <c r="A117" s="520"/>
      <c r="B117" s="520"/>
      <c r="C117" s="520"/>
      <c r="D117" s="520"/>
      <c r="E117" s="636"/>
      <c r="F117" s="637"/>
      <c r="G117" s="637"/>
      <c r="H117" s="637"/>
      <c r="I117" s="637"/>
      <c r="J117" s="637"/>
      <c r="K117" s="637"/>
      <c r="L117" s="637"/>
      <c r="M117" s="637"/>
      <c r="N117" s="637"/>
      <c r="O117" s="637"/>
      <c r="P117" s="637"/>
      <c r="Q117" s="637"/>
      <c r="R117" s="637"/>
      <c r="S117" s="637"/>
      <c r="T117" s="638"/>
    </row>
    <row r="118" spans="1:20" ht="15">
      <c r="A118" s="520"/>
      <c r="B118" s="520"/>
      <c r="C118" s="520"/>
      <c r="D118" s="520"/>
      <c r="E118" s="636"/>
      <c r="F118" s="637"/>
      <c r="G118" s="637"/>
      <c r="H118" s="637"/>
      <c r="I118" s="637"/>
      <c r="J118" s="637"/>
      <c r="K118" s="637"/>
      <c r="L118" s="637"/>
      <c r="M118" s="637"/>
      <c r="N118" s="637"/>
      <c r="O118" s="637"/>
      <c r="P118" s="637"/>
      <c r="Q118" s="637"/>
      <c r="R118" s="637"/>
      <c r="S118" s="637"/>
      <c r="T118" s="638"/>
    </row>
    <row r="119" spans="1:20" ht="15">
      <c r="A119" s="520"/>
      <c r="B119" s="520"/>
      <c r="C119" s="520"/>
      <c r="D119" s="520"/>
      <c r="E119" s="636"/>
      <c r="F119" s="637"/>
      <c r="G119" s="637"/>
      <c r="H119" s="637"/>
      <c r="I119" s="637"/>
      <c r="J119" s="637"/>
      <c r="K119" s="637"/>
      <c r="L119" s="637"/>
      <c r="M119" s="637"/>
      <c r="N119" s="637"/>
      <c r="O119" s="637"/>
      <c r="P119" s="637"/>
      <c r="Q119" s="637"/>
      <c r="R119" s="637"/>
      <c r="S119" s="637"/>
      <c r="T119" s="638"/>
    </row>
    <row r="120" spans="1:20" ht="15">
      <c r="A120" s="520"/>
      <c r="B120" s="520"/>
      <c r="C120" s="520"/>
      <c r="D120" s="520"/>
      <c r="E120" s="636"/>
      <c r="F120" s="637"/>
      <c r="G120" s="637"/>
      <c r="H120" s="637"/>
      <c r="I120" s="637"/>
      <c r="J120" s="637"/>
      <c r="K120" s="637"/>
      <c r="L120" s="637"/>
      <c r="M120" s="637"/>
      <c r="N120" s="637"/>
      <c r="O120" s="637"/>
      <c r="P120" s="637"/>
      <c r="Q120" s="637"/>
      <c r="R120" s="637"/>
      <c r="S120" s="637"/>
      <c r="T120" s="638"/>
    </row>
    <row r="121" spans="1:20" ht="15">
      <c r="A121" s="520"/>
      <c r="B121" s="520"/>
      <c r="C121" s="520"/>
      <c r="D121" s="520"/>
      <c r="E121" s="636"/>
      <c r="F121" s="637"/>
      <c r="G121" s="637"/>
      <c r="H121" s="637"/>
      <c r="I121" s="637"/>
      <c r="J121" s="637"/>
      <c r="K121" s="637"/>
      <c r="L121" s="637"/>
      <c r="M121" s="637"/>
      <c r="N121" s="637"/>
      <c r="O121" s="637"/>
      <c r="P121" s="637"/>
      <c r="Q121" s="637"/>
      <c r="R121" s="637"/>
      <c r="S121" s="637"/>
      <c r="T121" s="638"/>
    </row>
    <row r="122" spans="1:20" ht="15">
      <c r="A122" s="520"/>
      <c r="B122" s="520"/>
      <c r="C122" s="520"/>
      <c r="D122" s="520"/>
      <c r="E122" s="636"/>
      <c r="F122" s="637"/>
      <c r="G122" s="637"/>
      <c r="H122" s="637"/>
      <c r="I122" s="637"/>
      <c r="J122" s="637"/>
      <c r="K122" s="637"/>
      <c r="L122" s="637"/>
      <c r="M122" s="637"/>
      <c r="N122" s="637"/>
      <c r="O122" s="637"/>
      <c r="P122" s="637"/>
      <c r="Q122" s="637"/>
      <c r="R122" s="637"/>
      <c r="S122" s="637"/>
      <c r="T122" s="638"/>
    </row>
    <row r="123" spans="1:20" ht="15">
      <c r="A123" s="520"/>
      <c r="B123" s="520"/>
      <c r="C123" s="520"/>
      <c r="D123" s="520"/>
      <c r="E123" s="636"/>
      <c r="F123" s="637"/>
      <c r="G123" s="637"/>
      <c r="H123" s="637"/>
      <c r="I123" s="637"/>
      <c r="J123" s="637"/>
      <c r="K123" s="637"/>
      <c r="L123" s="637"/>
      <c r="M123" s="637"/>
      <c r="N123" s="637"/>
      <c r="O123" s="637"/>
      <c r="P123" s="637"/>
      <c r="Q123" s="637"/>
      <c r="R123" s="637"/>
      <c r="S123" s="637"/>
      <c r="T123" s="638"/>
    </row>
    <row r="124" spans="1:20" ht="15">
      <c r="A124" s="520"/>
      <c r="B124" s="520"/>
      <c r="C124" s="520"/>
      <c r="D124" s="520"/>
      <c r="E124" s="636"/>
      <c r="F124" s="637"/>
      <c r="G124" s="637"/>
      <c r="H124" s="637"/>
      <c r="I124" s="637"/>
      <c r="J124" s="637"/>
      <c r="K124" s="637"/>
      <c r="L124" s="637"/>
      <c r="M124" s="637"/>
      <c r="N124" s="637"/>
      <c r="O124" s="637"/>
      <c r="P124" s="637"/>
      <c r="Q124" s="637"/>
      <c r="R124" s="637"/>
      <c r="S124" s="637"/>
      <c r="T124" s="638"/>
    </row>
    <row r="125" spans="1:20" ht="15">
      <c r="A125" s="520"/>
      <c r="B125" s="520"/>
      <c r="C125" s="520"/>
      <c r="D125" s="520"/>
      <c r="E125" s="636"/>
      <c r="F125" s="637"/>
      <c r="G125" s="637"/>
      <c r="H125" s="637"/>
      <c r="I125" s="637"/>
      <c r="J125" s="637"/>
      <c r="K125" s="637"/>
      <c r="L125" s="637"/>
      <c r="M125" s="637"/>
      <c r="N125" s="637"/>
      <c r="O125" s="637"/>
      <c r="P125" s="637"/>
      <c r="Q125" s="637"/>
      <c r="R125" s="637"/>
      <c r="S125" s="637"/>
      <c r="T125" s="638"/>
    </row>
    <row r="126" spans="1:20" ht="15">
      <c r="A126" s="520"/>
      <c r="B126" s="520"/>
      <c r="C126" s="520"/>
      <c r="D126" s="520"/>
      <c r="E126" s="636"/>
      <c r="F126" s="637"/>
      <c r="G126" s="637"/>
      <c r="H126" s="637"/>
      <c r="I126" s="637"/>
      <c r="J126" s="637"/>
      <c r="K126" s="637"/>
      <c r="L126" s="637"/>
      <c r="M126" s="637"/>
      <c r="N126" s="637"/>
      <c r="O126" s="637"/>
      <c r="P126" s="637"/>
      <c r="Q126" s="637"/>
      <c r="R126" s="637"/>
      <c r="S126" s="637"/>
      <c r="T126" s="638"/>
    </row>
    <row r="127" spans="1:20" ht="15">
      <c r="A127" s="520"/>
      <c r="B127" s="520"/>
      <c r="C127" s="520"/>
      <c r="D127" s="520"/>
      <c r="E127" s="636"/>
      <c r="F127" s="637"/>
      <c r="G127" s="637"/>
      <c r="H127" s="637"/>
      <c r="I127" s="637"/>
      <c r="J127" s="637"/>
      <c r="K127" s="637"/>
      <c r="L127" s="637"/>
      <c r="M127" s="637"/>
      <c r="N127" s="637"/>
      <c r="O127" s="637"/>
      <c r="P127" s="637"/>
      <c r="Q127" s="637"/>
      <c r="R127" s="637"/>
      <c r="S127" s="637"/>
      <c r="T127" s="638"/>
    </row>
    <row r="128" spans="1:20" ht="15">
      <c r="A128" s="520"/>
      <c r="B128" s="520"/>
      <c r="C128" s="520"/>
      <c r="D128" s="520"/>
      <c r="E128" s="636"/>
      <c r="F128" s="637"/>
      <c r="G128" s="637"/>
      <c r="H128" s="637"/>
      <c r="I128" s="637"/>
      <c r="J128" s="637"/>
      <c r="K128" s="637"/>
      <c r="L128" s="637"/>
      <c r="M128" s="637"/>
      <c r="N128" s="637"/>
      <c r="O128" s="637"/>
      <c r="P128" s="637"/>
      <c r="Q128" s="637"/>
      <c r="R128" s="637"/>
      <c r="S128" s="637"/>
      <c r="T128" s="638"/>
    </row>
    <row r="129" spans="1:20" ht="15">
      <c r="A129" s="520"/>
      <c r="B129" s="520"/>
      <c r="C129" s="520"/>
      <c r="D129" s="520"/>
      <c r="E129" s="636"/>
      <c r="F129" s="637"/>
      <c r="G129" s="637"/>
      <c r="H129" s="637"/>
      <c r="I129" s="637"/>
      <c r="J129" s="637"/>
      <c r="K129" s="637"/>
      <c r="L129" s="637"/>
      <c r="M129" s="637"/>
      <c r="N129" s="637"/>
      <c r="O129" s="637"/>
      <c r="P129" s="637"/>
      <c r="Q129" s="637"/>
      <c r="R129" s="637"/>
      <c r="S129" s="637"/>
      <c r="T129" s="638"/>
    </row>
    <row r="130" spans="1:20" ht="15">
      <c r="A130" s="520"/>
      <c r="B130" s="520"/>
      <c r="C130" s="520"/>
      <c r="D130" s="520"/>
      <c r="E130" s="636"/>
      <c r="F130" s="637"/>
      <c r="G130" s="637"/>
      <c r="H130" s="637"/>
      <c r="I130" s="637"/>
      <c r="J130" s="637"/>
      <c r="K130" s="637"/>
      <c r="L130" s="637"/>
      <c r="M130" s="637"/>
      <c r="N130" s="637"/>
      <c r="O130" s="637"/>
      <c r="P130" s="637"/>
      <c r="Q130" s="637"/>
      <c r="R130" s="637"/>
      <c r="S130" s="637"/>
      <c r="T130" s="638"/>
    </row>
    <row r="131" spans="1:20" ht="15">
      <c r="A131" s="520"/>
      <c r="B131" s="520"/>
      <c r="C131" s="520"/>
      <c r="D131" s="520"/>
      <c r="E131" s="636"/>
      <c r="F131" s="637"/>
      <c r="G131" s="637"/>
      <c r="H131" s="637"/>
      <c r="I131" s="637"/>
      <c r="J131" s="637"/>
      <c r="K131" s="637"/>
      <c r="L131" s="637"/>
      <c r="M131" s="637"/>
      <c r="N131" s="637"/>
      <c r="O131" s="637"/>
      <c r="P131" s="637"/>
      <c r="Q131" s="637"/>
      <c r="R131" s="637"/>
      <c r="S131" s="637"/>
      <c r="T131" s="638"/>
    </row>
    <row r="132" spans="1:20" ht="15">
      <c r="A132" s="520"/>
      <c r="B132" s="520"/>
      <c r="C132" s="520"/>
      <c r="D132" s="520"/>
      <c r="E132" s="636"/>
      <c r="F132" s="637"/>
      <c r="G132" s="637"/>
      <c r="H132" s="637"/>
      <c r="I132" s="637"/>
      <c r="J132" s="637"/>
      <c r="K132" s="637"/>
      <c r="L132" s="637"/>
      <c r="M132" s="637"/>
      <c r="N132" s="637"/>
      <c r="O132" s="637"/>
      <c r="P132" s="637"/>
      <c r="Q132" s="637"/>
      <c r="R132" s="637"/>
      <c r="S132" s="637"/>
      <c r="T132" s="638"/>
    </row>
    <row r="133" spans="1:20" ht="15">
      <c r="A133" s="520"/>
      <c r="B133" s="520"/>
      <c r="C133" s="520"/>
      <c r="D133" s="520"/>
      <c r="E133" s="636"/>
      <c r="F133" s="637"/>
      <c r="G133" s="637"/>
      <c r="H133" s="637"/>
      <c r="I133" s="637"/>
      <c r="J133" s="637"/>
      <c r="K133" s="637"/>
      <c r="L133" s="637"/>
      <c r="M133" s="637"/>
      <c r="N133" s="637"/>
      <c r="O133" s="637"/>
      <c r="P133" s="637"/>
      <c r="Q133" s="637"/>
      <c r="R133" s="637"/>
      <c r="S133" s="637"/>
      <c r="T133" s="638"/>
    </row>
    <row r="134" spans="1:20" ht="15">
      <c r="A134" s="520"/>
      <c r="B134" s="520"/>
      <c r="C134" s="520"/>
      <c r="D134" s="520"/>
      <c r="E134" s="636"/>
      <c r="F134" s="637"/>
      <c r="G134" s="637"/>
      <c r="H134" s="637"/>
      <c r="I134" s="637"/>
      <c r="J134" s="637"/>
      <c r="K134" s="637"/>
      <c r="L134" s="637"/>
      <c r="M134" s="637"/>
      <c r="N134" s="637"/>
      <c r="O134" s="637"/>
      <c r="P134" s="637"/>
      <c r="Q134" s="637"/>
      <c r="R134" s="637"/>
      <c r="S134" s="637"/>
      <c r="T134" s="638"/>
    </row>
    <row r="135" spans="1:20" ht="15">
      <c r="A135" s="520"/>
      <c r="B135" s="520"/>
      <c r="C135" s="520"/>
      <c r="D135" s="520"/>
      <c r="E135" s="636"/>
      <c r="F135" s="637"/>
      <c r="G135" s="637"/>
      <c r="H135" s="637"/>
      <c r="I135" s="637"/>
      <c r="J135" s="637"/>
      <c r="K135" s="637"/>
      <c r="L135" s="637"/>
      <c r="M135" s="637"/>
      <c r="N135" s="637"/>
      <c r="O135" s="637"/>
      <c r="P135" s="637"/>
      <c r="Q135" s="637"/>
      <c r="R135" s="637"/>
      <c r="S135" s="637"/>
      <c r="T135" s="638"/>
    </row>
    <row r="136" spans="1:20" ht="15">
      <c r="A136" s="520"/>
      <c r="B136" s="520"/>
      <c r="C136" s="520"/>
      <c r="D136" s="520"/>
      <c r="E136" s="636"/>
      <c r="F136" s="637"/>
      <c r="G136" s="637"/>
      <c r="H136" s="637"/>
      <c r="I136" s="637"/>
      <c r="J136" s="637"/>
      <c r="K136" s="637"/>
      <c r="L136" s="637"/>
      <c r="M136" s="637"/>
      <c r="N136" s="637"/>
      <c r="O136" s="637"/>
      <c r="P136" s="637"/>
      <c r="Q136" s="637"/>
      <c r="R136" s="637"/>
      <c r="S136" s="637"/>
      <c r="T136" s="638"/>
    </row>
    <row r="137" spans="1:20" ht="15">
      <c r="A137" s="520"/>
      <c r="B137" s="520"/>
      <c r="C137" s="520"/>
      <c r="D137" s="520"/>
      <c r="E137" s="636"/>
      <c r="F137" s="637"/>
      <c r="G137" s="637"/>
      <c r="H137" s="637"/>
      <c r="I137" s="637"/>
      <c r="J137" s="637"/>
      <c r="K137" s="637"/>
      <c r="L137" s="637"/>
      <c r="M137" s="637"/>
      <c r="N137" s="637"/>
      <c r="O137" s="637"/>
      <c r="P137" s="637"/>
      <c r="Q137" s="637"/>
      <c r="R137" s="637"/>
      <c r="S137" s="637"/>
      <c r="T137" s="638"/>
    </row>
    <row r="138" spans="1:19" ht="15">
      <c r="A138" s="520"/>
      <c r="B138" s="520"/>
      <c r="C138" s="520"/>
      <c r="D138" s="520"/>
      <c r="E138" s="616"/>
      <c r="F138" s="520"/>
      <c r="G138" s="520"/>
      <c r="H138" s="520"/>
      <c r="I138" s="520"/>
      <c r="J138" s="520"/>
      <c r="K138" s="520"/>
      <c r="L138" s="520"/>
      <c r="M138" s="520"/>
      <c r="N138" s="520"/>
      <c r="O138" s="520"/>
      <c r="P138" s="520"/>
      <c r="Q138" s="520"/>
      <c r="R138" s="520"/>
      <c r="S138" s="520"/>
    </row>
    <row r="139" spans="1:19" ht="15">
      <c r="A139" s="520"/>
      <c r="B139" s="520"/>
      <c r="C139" s="520"/>
      <c r="D139" s="520"/>
      <c r="E139" s="616"/>
      <c r="F139" s="520"/>
      <c r="G139" s="520"/>
      <c r="H139" s="520"/>
      <c r="I139" s="520"/>
      <c r="J139" s="520"/>
      <c r="K139" s="520"/>
      <c r="L139" s="520"/>
      <c r="M139" s="520"/>
      <c r="N139" s="520"/>
      <c r="O139" s="520"/>
      <c r="P139" s="520"/>
      <c r="Q139" s="520"/>
      <c r="R139" s="520"/>
      <c r="S139" s="520"/>
    </row>
    <row r="140" spans="1:19" ht="15">
      <c r="A140" s="520"/>
      <c r="B140" s="520"/>
      <c r="C140" s="520"/>
      <c r="D140" s="520"/>
      <c r="E140" s="616"/>
      <c r="F140" s="520"/>
      <c r="G140" s="520"/>
      <c r="H140" s="520"/>
      <c r="I140" s="520"/>
      <c r="J140" s="520"/>
      <c r="K140" s="520"/>
      <c r="L140" s="520"/>
      <c r="M140" s="520"/>
      <c r="N140" s="520"/>
      <c r="O140" s="520"/>
      <c r="P140" s="520"/>
      <c r="Q140" s="520"/>
      <c r="R140" s="520"/>
      <c r="S140" s="520"/>
    </row>
    <row r="141" spans="1:19" ht="15">
      <c r="A141" s="520"/>
      <c r="B141" s="520"/>
      <c r="C141" s="520"/>
      <c r="D141" s="520"/>
      <c r="E141" s="616"/>
      <c r="F141" s="520"/>
      <c r="G141" s="520"/>
      <c r="H141" s="520"/>
      <c r="I141" s="520"/>
      <c r="J141" s="520"/>
      <c r="K141" s="520"/>
      <c r="L141" s="520"/>
      <c r="M141" s="520"/>
      <c r="N141" s="520"/>
      <c r="O141" s="520"/>
      <c r="P141" s="520"/>
      <c r="Q141" s="520"/>
      <c r="R141" s="520"/>
      <c r="S141" s="520"/>
    </row>
    <row r="142" spans="1:19" ht="15">
      <c r="A142" s="520"/>
      <c r="B142" s="520"/>
      <c r="C142" s="520"/>
      <c r="D142" s="520"/>
      <c r="E142" s="616"/>
      <c r="F142" s="520"/>
      <c r="G142" s="520"/>
      <c r="H142" s="520"/>
      <c r="I142" s="520"/>
      <c r="J142" s="520"/>
      <c r="K142" s="520"/>
      <c r="L142" s="520"/>
      <c r="M142" s="520"/>
      <c r="N142" s="520"/>
      <c r="O142" s="520"/>
      <c r="P142" s="520"/>
      <c r="Q142" s="520"/>
      <c r="R142" s="520"/>
      <c r="S142" s="520"/>
    </row>
    <row r="143" spans="1:19" ht="15">
      <c r="A143" s="520"/>
      <c r="B143" s="520"/>
      <c r="C143" s="520"/>
      <c r="D143" s="520"/>
      <c r="E143" s="616"/>
      <c r="F143" s="520"/>
      <c r="G143" s="520"/>
      <c r="H143" s="520"/>
      <c r="I143" s="520"/>
      <c r="J143" s="520"/>
      <c r="K143" s="520"/>
      <c r="L143" s="520"/>
      <c r="M143" s="520"/>
      <c r="N143" s="520"/>
      <c r="O143" s="520"/>
      <c r="P143" s="520"/>
      <c r="Q143" s="520"/>
      <c r="R143" s="520"/>
      <c r="S143" s="520"/>
    </row>
    <row r="144" spans="1:19" ht="15">
      <c r="A144" s="520"/>
      <c r="B144" s="520"/>
      <c r="C144" s="520"/>
      <c r="D144" s="520"/>
      <c r="E144" s="616"/>
      <c r="F144" s="520"/>
      <c r="G144" s="520"/>
      <c r="H144" s="520"/>
      <c r="I144" s="520"/>
      <c r="J144" s="520"/>
      <c r="K144" s="520"/>
      <c r="L144" s="520"/>
      <c r="M144" s="520"/>
      <c r="N144" s="520"/>
      <c r="O144" s="520"/>
      <c r="P144" s="520"/>
      <c r="Q144" s="520"/>
      <c r="R144" s="520"/>
      <c r="S144" s="520"/>
    </row>
    <row r="145" spans="1:19" ht="15">
      <c r="A145" s="520"/>
      <c r="B145" s="520"/>
      <c r="C145" s="520"/>
      <c r="D145" s="520"/>
      <c r="E145" s="616"/>
      <c r="F145" s="520"/>
      <c r="G145" s="520"/>
      <c r="H145" s="520"/>
      <c r="I145" s="520"/>
      <c r="J145" s="520"/>
      <c r="K145" s="520"/>
      <c r="L145" s="520"/>
      <c r="M145" s="520"/>
      <c r="N145" s="520"/>
      <c r="O145" s="520"/>
      <c r="P145" s="520"/>
      <c r="Q145" s="520"/>
      <c r="R145" s="520"/>
      <c r="S145" s="520"/>
    </row>
    <row r="146" spans="1:19" ht="15">
      <c r="A146" s="520"/>
      <c r="B146" s="520"/>
      <c r="C146" s="520"/>
      <c r="D146" s="520"/>
      <c r="E146" s="616"/>
      <c r="F146" s="520"/>
      <c r="G146" s="520"/>
      <c r="H146" s="520"/>
      <c r="I146" s="520"/>
      <c r="J146" s="520"/>
      <c r="K146" s="520"/>
      <c r="L146" s="520"/>
      <c r="M146" s="520"/>
      <c r="N146" s="520"/>
      <c r="O146" s="520"/>
      <c r="P146" s="520"/>
      <c r="Q146" s="520"/>
      <c r="R146" s="520"/>
      <c r="S146" s="520"/>
    </row>
    <row r="147" spans="1:19" ht="15">
      <c r="A147" s="520"/>
      <c r="B147" s="520"/>
      <c r="C147" s="520"/>
      <c r="D147" s="520"/>
      <c r="E147" s="616"/>
      <c r="F147" s="520"/>
      <c r="G147" s="520"/>
      <c r="H147" s="520"/>
      <c r="I147" s="520"/>
      <c r="J147" s="520"/>
      <c r="K147" s="520"/>
      <c r="L147" s="520"/>
      <c r="M147" s="520"/>
      <c r="N147" s="520"/>
      <c r="O147" s="520"/>
      <c r="P147" s="520"/>
      <c r="Q147" s="520"/>
      <c r="R147" s="520"/>
      <c r="S147" s="520"/>
    </row>
    <row r="148" spans="1:19" ht="15">
      <c r="A148" s="520"/>
      <c r="B148" s="520"/>
      <c r="C148" s="520"/>
      <c r="D148" s="520"/>
      <c r="E148" s="616"/>
      <c r="F148" s="520"/>
      <c r="G148" s="520"/>
      <c r="H148" s="520"/>
      <c r="I148" s="520"/>
      <c r="J148" s="520"/>
      <c r="K148" s="520"/>
      <c r="L148" s="520"/>
      <c r="M148" s="520"/>
      <c r="N148" s="520"/>
      <c r="O148" s="520"/>
      <c r="P148" s="520"/>
      <c r="Q148" s="520"/>
      <c r="R148" s="520"/>
      <c r="S148" s="520"/>
    </row>
    <row r="149" spans="1:19" ht="15">
      <c r="A149" s="520"/>
      <c r="B149" s="520"/>
      <c r="C149" s="520"/>
      <c r="D149" s="520"/>
      <c r="E149" s="616"/>
      <c r="F149" s="520"/>
      <c r="G149" s="520"/>
      <c r="H149" s="520"/>
      <c r="I149" s="520"/>
      <c r="J149" s="520"/>
      <c r="K149" s="520"/>
      <c r="L149" s="520"/>
      <c r="M149" s="520"/>
      <c r="N149" s="520"/>
      <c r="O149" s="520"/>
      <c r="P149" s="520"/>
      <c r="Q149" s="520"/>
      <c r="R149" s="520"/>
      <c r="S149" s="520"/>
    </row>
    <row r="150" spans="1:19" ht="15">
      <c r="A150" s="520"/>
      <c r="B150" s="520"/>
      <c r="C150" s="520"/>
      <c r="D150" s="520"/>
      <c r="E150" s="616"/>
      <c r="F150" s="520"/>
      <c r="G150" s="520"/>
      <c r="H150" s="520"/>
      <c r="I150" s="520"/>
      <c r="J150" s="520"/>
      <c r="K150" s="520"/>
      <c r="L150" s="520"/>
      <c r="M150" s="520"/>
      <c r="N150" s="520"/>
      <c r="O150" s="520"/>
      <c r="P150" s="520"/>
      <c r="Q150" s="520"/>
      <c r="R150" s="520"/>
      <c r="S150" s="520"/>
    </row>
    <row r="151" spans="1:19" ht="15">
      <c r="A151" s="520"/>
      <c r="B151" s="520"/>
      <c r="C151" s="520"/>
      <c r="D151" s="520"/>
      <c r="E151" s="616"/>
      <c r="F151" s="520"/>
      <c r="G151" s="520"/>
      <c r="H151" s="520"/>
      <c r="I151" s="520"/>
      <c r="J151" s="520"/>
      <c r="K151" s="520"/>
      <c r="L151" s="520"/>
      <c r="M151" s="520"/>
      <c r="N151" s="520"/>
      <c r="O151" s="520"/>
      <c r="P151" s="520"/>
      <c r="Q151" s="520"/>
      <c r="R151" s="520"/>
      <c r="S151" s="520"/>
    </row>
    <row r="152" spans="1:19" ht="15">
      <c r="A152" s="520"/>
      <c r="B152" s="520"/>
      <c r="C152" s="520"/>
      <c r="D152" s="520"/>
      <c r="E152" s="616"/>
      <c r="F152" s="520"/>
      <c r="G152" s="520"/>
      <c r="H152" s="520"/>
      <c r="I152" s="520"/>
      <c r="J152" s="520"/>
      <c r="K152" s="520"/>
      <c r="L152" s="520"/>
      <c r="M152" s="520"/>
      <c r="N152" s="520"/>
      <c r="O152" s="520"/>
      <c r="P152" s="520"/>
      <c r="Q152" s="520"/>
      <c r="R152" s="520"/>
      <c r="S152" s="520"/>
    </row>
    <row r="153" spans="1:19" ht="15">
      <c r="A153" s="520"/>
      <c r="B153" s="520"/>
      <c r="C153" s="520"/>
      <c r="D153" s="520"/>
      <c r="E153" s="616"/>
      <c r="F153" s="520"/>
      <c r="G153" s="520"/>
      <c r="H153" s="520"/>
      <c r="I153" s="520"/>
      <c r="J153" s="520"/>
      <c r="K153" s="520"/>
      <c r="L153" s="520"/>
      <c r="M153" s="520"/>
      <c r="N153" s="520"/>
      <c r="O153" s="520"/>
      <c r="P153" s="520"/>
      <c r="Q153" s="520"/>
      <c r="R153" s="520"/>
      <c r="S153" s="520"/>
    </row>
    <row r="154" spans="1:19" ht="15">
      <c r="A154" s="520"/>
      <c r="B154" s="520"/>
      <c r="C154" s="520"/>
      <c r="D154" s="520"/>
      <c r="E154" s="616"/>
      <c r="F154" s="520"/>
      <c r="G154" s="520"/>
      <c r="H154" s="520"/>
      <c r="I154" s="520"/>
      <c r="J154" s="520"/>
      <c r="K154" s="520"/>
      <c r="L154" s="520"/>
      <c r="M154" s="520"/>
      <c r="N154" s="520"/>
      <c r="O154" s="520"/>
      <c r="P154" s="520"/>
      <c r="Q154" s="520"/>
      <c r="R154" s="520"/>
      <c r="S154" s="520"/>
    </row>
    <row r="155" spans="1:19" ht="15">
      <c r="A155" s="520"/>
      <c r="B155" s="520"/>
      <c r="C155" s="520"/>
      <c r="D155" s="520"/>
      <c r="E155" s="616"/>
      <c r="F155" s="520"/>
      <c r="G155" s="520"/>
      <c r="H155" s="520"/>
      <c r="I155" s="520"/>
      <c r="J155" s="520"/>
      <c r="K155" s="520"/>
      <c r="L155" s="520"/>
      <c r="M155" s="520"/>
      <c r="N155" s="520"/>
      <c r="O155" s="520"/>
      <c r="P155" s="520"/>
      <c r="Q155" s="520"/>
      <c r="R155" s="520"/>
      <c r="S155" s="520"/>
    </row>
    <row r="156" spans="1:19" ht="15">
      <c r="A156" s="520"/>
      <c r="B156" s="520"/>
      <c r="C156" s="520"/>
      <c r="D156" s="520"/>
      <c r="E156" s="616"/>
      <c r="F156" s="520"/>
      <c r="G156" s="520"/>
      <c r="H156" s="520"/>
      <c r="I156" s="520"/>
      <c r="J156" s="520"/>
      <c r="K156" s="520"/>
      <c r="L156" s="520"/>
      <c r="M156" s="520"/>
      <c r="N156" s="520"/>
      <c r="O156" s="520"/>
      <c r="P156" s="520"/>
      <c r="Q156" s="520"/>
      <c r="R156" s="520"/>
      <c r="S156" s="520"/>
    </row>
    <row r="157" spans="1:19" ht="15">
      <c r="A157" s="520"/>
      <c r="B157" s="520"/>
      <c r="C157" s="520"/>
      <c r="D157" s="520"/>
      <c r="E157" s="616"/>
      <c r="F157" s="520"/>
      <c r="G157" s="520"/>
      <c r="H157" s="520"/>
      <c r="I157" s="520"/>
      <c r="J157" s="520"/>
      <c r="K157" s="520"/>
      <c r="L157" s="520"/>
      <c r="M157" s="520"/>
      <c r="N157" s="520"/>
      <c r="O157" s="520"/>
      <c r="P157" s="520"/>
      <c r="Q157" s="520"/>
      <c r="R157" s="520"/>
      <c r="S157" s="520"/>
    </row>
    <row r="158" spans="1:19" ht="15">
      <c r="A158" s="520"/>
      <c r="B158" s="520"/>
      <c r="C158" s="520"/>
      <c r="D158" s="520"/>
      <c r="E158" s="616"/>
      <c r="F158" s="520"/>
      <c r="G158" s="520"/>
      <c r="H158" s="520"/>
      <c r="I158" s="520"/>
      <c r="J158" s="520"/>
      <c r="K158" s="520"/>
      <c r="L158" s="520"/>
      <c r="M158" s="520"/>
      <c r="N158" s="520"/>
      <c r="O158" s="520"/>
      <c r="P158" s="520"/>
      <c r="Q158" s="520"/>
      <c r="R158" s="520"/>
      <c r="S158" s="520"/>
    </row>
    <row r="159" spans="1:19" ht="15">
      <c r="A159" s="520"/>
      <c r="B159" s="520"/>
      <c r="C159" s="520"/>
      <c r="D159" s="520"/>
      <c r="E159" s="616"/>
      <c r="F159" s="520"/>
      <c r="G159" s="520"/>
      <c r="H159" s="520"/>
      <c r="I159" s="520"/>
      <c r="J159" s="520"/>
      <c r="K159" s="520"/>
      <c r="L159" s="520"/>
      <c r="M159" s="520"/>
      <c r="N159" s="520"/>
      <c r="O159" s="520"/>
      <c r="P159" s="520"/>
      <c r="Q159" s="520"/>
      <c r="R159" s="520"/>
      <c r="S159" s="520"/>
    </row>
  </sheetData>
  <sheetProtection/>
  <mergeCells count="85">
    <mergeCell ref="B73:C73"/>
    <mergeCell ref="B55:C55"/>
    <mergeCell ref="B56:C56"/>
    <mergeCell ref="B57:C57"/>
    <mergeCell ref="B58:C58"/>
    <mergeCell ref="B75:C75"/>
    <mergeCell ref="B65:C65"/>
    <mergeCell ref="B66:C66"/>
    <mergeCell ref="B67:C67"/>
    <mergeCell ref="B68:C68"/>
    <mergeCell ref="B74:C74"/>
    <mergeCell ref="B59:C59"/>
    <mergeCell ref="B72:C72"/>
    <mergeCell ref="B62:C62"/>
    <mergeCell ref="B61:C61"/>
    <mergeCell ref="B64:C64"/>
    <mergeCell ref="B69:C69"/>
    <mergeCell ref="B70:C70"/>
    <mergeCell ref="B71:C71"/>
    <mergeCell ref="B60:C60"/>
    <mergeCell ref="B63:C63"/>
    <mergeCell ref="B38:C38"/>
    <mergeCell ref="B54:C54"/>
    <mergeCell ref="B51:C51"/>
    <mergeCell ref="B52:C52"/>
    <mergeCell ref="B47:C47"/>
    <mergeCell ref="B48:C48"/>
    <mergeCell ref="B49:C49"/>
    <mergeCell ref="B45:C45"/>
    <mergeCell ref="B50:C50"/>
    <mergeCell ref="B53:C53"/>
    <mergeCell ref="B31:C31"/>
    <mergeCell ref="B32:C32"/>
    <mergeCell ref="B41:C41"/>
    <mergeCell ref="B42:C42"/>
    <mergeCell ref="B43:C43"/>
    <mergeCell ref="B44:C44"/>
    <mergeCell ref="B46:C46"/>
    <mergeCell ref="B34:C34"/>
    <mergeCell ref="B35:C35"/>
    <mergeCell ref="B36:C36"/>
    <mergeCell ref="B39:C39"/>
    <mergeCell ref="B40:C40"/>
    <mergeCell ref="B20:C20"/>
    <mergeCell ref="B21:C21"/>
    <mergeCell ref="B22:C22"/>
    <mergeCell ref="B23:C23"/>
    <mergeCell ref="B24:C24"/>
    <mergeCell ref="B37:C37"/>
    <mergeCell ref="B25:C25"/>
    <mergeCell ref="B26:C26"/>
    <mergeCell ref="B33:C33"/>
    <mergeCell ref="J9:K9"/>
    <mergeCell ref="F9:F10"/>
    <mergeCell ref="B27:C27"/>
    <mergeCell ref="B28:C28"/>
    <mergeCell ref="B29:C29"/>
    <mergeCell ref="B30:C30"/>
    <mergeCell ref="B19:C19"/>
    <mergeCell ref="B17:C17"/>
    <mergeCell ref="B18:C18"/>
    <mergeCell ref="N8:S8"/>
    <mergeCell ref="M8:M10"/>
    <mergeCell ref="B15:C15"/>
    <mergeCell ref="B16:C16"/>
    <mergeCell ref="L8:L10"/>
    <mergeCell ref="A11:C11"/>
    <mergeCell ref="A12:C12"/>
    <mergeCell ref="B13:C13"/>
    <mergeCell ref="B14:C14"/>
    <mergeCell ref="G9:I9"/>
    <mergeCell ref="Q5:S5"/>
    <mergeCell ref="A7:C10"/>
    <mergeCell ref="D7:K7"/>
    <mergeCell ref="L7:S7"/>
    <mergeCell ref="R9:S9"/>
    <mergeCell ref="D8:D10"/>
    <mergeCell ref="N9:N10"/>
    <mergeCell ref="O9:Q9"/>
    <mergeCell ref="E8:E10"/>
    <mergeCell ref="F8:K8"/>
    <mergeCell ref="A1:F1"/>
    <mergeCell ref="A2:S2"/>
    <mergeCell ref="A3:S3"/>
    <mergeCell ref="A4:S4"/>
  </mergeCells>
  <printOptions/>
  <pageMargins left="0.25" right="0.25" top="0.25" bottom="0.25" header="0.5" footer="0.5"/>
  <pageSetup horizontalDpi="600" verticalDpi="600" orientation="landscape" r:id="rId1"/>
</worksheet>
</file>

<file path=xl/worksheets/sheet13.xml><?xml version="1.0" encoding="utf-8"?>
<worksheet xmlns="http://schemas.openxmlformats.org/spreadsheetml/2006/main" xmlns:r="http://schemas.openxmlformats.org/officeDocument/2006/relationships">
  <sheetPr>
    <tabColor rgb="FFFFFF00"/>
  </sheetPr>
  <dimension ref="A1:Z88"/>
  <sheetViews>
    <sheetView zoomScalePageLayoutView="0" workbookViewId="0" topLeftCell="A5">
      <pane ySplit="5430" topLeftCell="A59" activePane="bottomLeft" state="split"/>
      <selection pane="topLeft" activeCell="L6" sqref="L1:N16384"/>
      <selection pane="bottomLeft" activeCell="R71" sqref="R71"/>
    </sheetView>
  </sheetViews>
  <sheetFormatPr defaultColWidth="9.140625" defaultRowHeight="12.75"/>
  <cols>
    <col min="1" max="1" width="3.7109375" style="0" customWidth="1"/>
    <col min="2" max="2" width="4.8515625" style="0" customWidth="1"/>
    <col min="3" max="3" width="6.8515625" style="0" customWidth="1"/>
    <col min="4" max="4" width="8.00390625" style="0" customWidth="1"/>
    <col min="5" max="5" width="7.57421875" style="0" customWidth="1"/>
    <col min="6" max="6" width="8.28125" style="0" customWidth="1"/>
    <col min="7" max="7" width="8.00390625" style="0" customWidth="1"/>
    <col min="8" max="8" width="7.57421875" style="0" customWidth="1"/>
    <col min="9" max="9" width="8.7109375" style="0" customWidth="1"/>
    <col min="10" max="10" width="8.57421875" style="0" customWidth="1"/>
    <col min="11" max="11" width="13.28125" style="0" bestFit="1" customWidth="1"/>
    <col min="12" max="12" width="8.57421875" style="0" customWidth="1"/>
    <col min="13" max="13" width="9.28125" style="0" customWidth="1"/>
    <col min="14" max="14" width="9.421875" style="0" customWidth="1"/>
    <col min="15" max="15" width="9.57421875" style="0" customWidth="1"/>
    <col min="16" max="16" width="14.421875" style="0" customWidth="1"/>
    <col min="17" max="17" width="13.7109375" style="0" customWidth="1"/>
    <col min="18" max="18" width="23.28125" style="518" customWidth="1"/>
    <col min="19" max="19" width="20.57421875" style="518" customWidth="1"/>
  </cols>
  <sheetData>
    <row r="1" spans="1:17" ht="15.75">
      <c r="A1" s="1015" t="s">
        <v>318</v>
      </c>
      <c r="B1" s="1015"/>
      <c r="C1" s="1015"/>
      <c r="D1" s="1015"/>
      <c r="E1" s="1015"/>
      <c r="F1" s="1015"/>
      <c r="G1" s="56"/>
      <c r="H1" s="56"/>
      <c r="I1" s="56"/>
      <c r="J1" s="56"/>
      <c r="K1" s="56"/>
      <c r="L1" s="56"/>
      <c r="M1" s="56"/>
      <c r="N1" s="56"/>
      <c r="O1" s="56"/>
      <c r="P1" s="56"/>
      <c r="Q1" s="56"/>
    </row>
    <row r="2" spans="1:23" ht="30.75" customHeight="1">
      <c r="A2" s="1016" t="s">
        <v>209</v>
      </c>
      <c r="B2" s="1016"/>
      <c r="C2" s="1016"/>
      <c r="D2" s="1016"/>
      <c r="E2" s="1016"/>
      <c r="F2" s="1016"/>
      <c r="G2" s="1016"/>
      <c r="H2" s="1016"/>
      <c r="I2" s="1016"/>
      <c r="J2" s="1016"/>
      <c r="K2" s="1016"/>
      <c r="L2" s="1016"/>
      <c r="M2" s="1016"/>
      <c r="N2" s="1016"/>
      <c r="O2" s="1016"/>
      <c r="P2" s="1016"/>
      <c r="Q2" s="1016"/>
      <c r="R2" s="519"/>
      <c r="S2" s="519"/>
      <c r="T2" s="520"/>
      <c r="U2" s="520"/>
      <c r="V2" s="520"/>
      <c r="W2" s="520"/>
    </row>
    <row r="3" spans="1:23" ht="27.75" customHeight="1">
      <c r="A3" s="1016" t="s">
        <v>210</v>
      </c>
      <c r="B3" s="1016"/>
      <c r="C3" s="1016"/>
      <c r="D3" s="1016"/>
      <c r="E3" s="1016"/>
      <c r="F3" s="1016"/>
      <c r="G3" s="1016"/>
      <c r="H3" s="1016"/>
      <c r="I3" s="1016"/>
      <c r="J3" s="1016"/>
      <c r="K3" s="1016"/>
      <c r="L3" s="1016"/>
      <c r="M3" s="1016"/>
      <c r="N3" s="1016"/>
      <c r="O3" s="1016"/>
      <c r="P3" s="1016"/>
      <c r="Q3" s="1016"/>
      <c r="R3" s="519"/>
      <c r="S3" s="519"/>
      <c r="T3" s="520"/>
      <c r="U3" s="520"/>
      <c r="V3" s="520"/>
      <c r="W3" s="520"/>
    </row>
    <row r="4" spans="1:23" ht="19.5" customHeight="1">
      <c r="A4" s="1016" t="s">
        <v>211</v>
      </c>
      <c r="B4" s="1016"/>
      <c r="C4" s="1016"/>
      <c r="D4" s="1016"/>
      <c r="E4" s="1016"/>
      <c r="F4" s="1016"/>
      <c r="G4" s="1016"/>
      <c r="H4" s="1016"/>
      <c r="I4" s="1016"/>
      <c r="J4" s="1016"/>
      <c r="K4" s="1016"/>
      <c r="L4" s="1016"/>
      <c r="M4" s="1016"/>
      <c r="N4" s="1016"/>
      <c r="O4" s="1016"/>
      <c r="P4" s="1016"/>
      <c r="Q4" s="1016"/>
      <c r="R4" s="519"/>
      <c r="S4" s="519"/>
      <c r="T4" s="520"/>
      <c r="U4" s="520"/>
      <c r="V4" s="520"/>
      <c r="W4" s="520"/>
    </row>
    <row r="5" spans="1:23" ht="18.75">
      <c r="A5" s="1017" t="s">
        <v>319</v>
      </c>
      <c r="B5" s="1017"/>
      <c r="C5" s="1017"/>
      <c r="D5" s="1017"/>
      <c r="E5" s="1017"/>
      <c r="F5" s="1017"/>
      <c r="G5" s="1017"/>
      <c r="H5" s="1017"/>
      <c r="I5" s="1017"/>
      <c r="J5" s="1017"/>
      <c r="K5" s="1017"/>
      <c r="L5" s="1017"/>
      <c r="M5" s="1017"/>
      <c r="N5" s="1017"/>
      <c r="O5" s="1017"/>
      <c r="P5" s="1017"/>
      <c r="Q5" s="1017"/>
      <c r="R5" s="521"/>
      <c r="S5" s="519"/>
      <c r="T5" s="520"/>
      <c r="U5" s="520"/>
      <c r="V5" s="520"/>
      <c r="W5" s="520"/>
    </row>
    <row r="6" spans="1:23" ht="15.75">
      <c r="A6" s="56"/>
      <c r="B6" s="56"/>
      <c r="C6" s="56"/>
      <c r="D6" s="522"/>
      <c r="E6" s="522"/>
      <c r="F6" s="522"/>
      <c r="G6" s="522"/>
      <c r="H6" s="522"/>
      <c r="I6" s="522"/>
      <c r="J6" s="522"/>
      <c r="K6" s="522"/>
      <c r="L6" s="522"/>
      <c r="M6" s="522"/>
      <c r="N6" s="522"/>
      <c r="O6" s="522"/>
      <c r="P6" s="522"/>
      <c r="Q6" s="522"/>
      <c r="R6" s="519"/>
      <c r="S6" s="519"/>
      <c r="T6" s="520"/>
      <c r="U6" s="520"/>
      <c r="V6" s="520"/>
      <c r="W6" s="520"/>
    </row>
    <row r="7" spans="1:23" ht="24.75" customHeight="1">
      <c r="A7" s="1054"/>
      <c r="B7" s="1055"/>
      <c r="C7" s="1056"/>
      <c r="D7" s="1030" t="s">
        <v>240</v>
      </c>
      <c r="E7" s="1030"/>
      <c r="F7" s="1030"/>
      <c r="G7" s="1030"/>
      <c r="H7" s="1030"/>
      <c r="I7" s="1030"/>
      <c r="J7" s="1030"/>
      <c r="K7" s="1030" t="s">
        <v>241</v>
      </c>
      <c r="L7" s="1030"/>
      <c r="M7" s="1030"/>
      <c r="N7" s="1030"/>
      <c r="O7" s="1030"/>
      <c r="P7" s="1030"/>
      <c r="Q7" s="1030"/>
      <c r="R7" s="519"/>
      <c r="S7" s="519"/>
      <c r="T7" s="520"/>
      <c r="U7" s="520"/>
      <c r="V7" s="520"/>
      <c r="W7" s="520"/>
    </row>
    <row r="8" spans="1:23" ht="29.25" customHeight="1">
      <c r="A8" s="1057"/>
      <c r="B8" s="1058"/>
      <c r="C8" s="1059"/>
      <c r="D8" s="1048" t="s">
        <v>511</v>
      </c>
      <c r="E8" s="915" t="s">
        <v>224</v>
      </c>
      <c r="F8" s="915"/>
      <c r="G8" s="915"/>
      <c r="H8" s="915" t="s">
        <v>225</v>
      </c>
      <c r="I8" s="915"/>
      <c r="J8" s="915"/>
      <c r="K8" s="1048" t="s">
        <v>511</v>
      </c>
      <c r="L8" s="1048" t="s">
        <v>333</v>
      </c>
      <c r="M8" s="915" t="s">
        <v>320</v>
      </c>
      <c r="N8" s="915"/>
      <c r="O8" s="915"/>
      <c r="P8" s="915"/>
      <c r="Q8" s="915"/>
      <c r="R8" s="519"/>
      <c r="S8" s="519"/>
      <c r="T8" s="520"/>
      <c r="U8" s="520"/>
      <c r="V8" s="520"/>
      <c r="W8" s="520"/>
    </row>
    <row r="9" spans="1:23" ht="21" customHeight="1">
      <c r="A9" s="1057"/>
      <c r="B9" s="1058"/>
      <c r="C9" s="1059"/>
      <c r="D9" s="1049"/>
      <c r="E9" s="1048" t="s">
        <v>511</v>
      </c>
      <c r="F9" s="915" t="s">
        <v>321</v>
      </c>
      <c r="G9" s="915"/>
      <c r="H9" s="1048" t="s">
        <v>511</v>
      </c>
      <c r="I9" s="915" t="s">
        <v>321</v>
      </c>
      <c r="J9" s="915"/>
      <c r="K9" s="1049"/>
      <c r="L9" s="1049"/>
      <c r="M9" s="1048" t="s">
        <v>322</v>
      </c>
      <c r="N9" s="1012" t="s">
        <v>321</v>
      </c>
      <c r="O9" s="1013"/>
      <c r="P9" s="1013"/>
      <c r="Q9" s="1014"/>
      <c r="R9" s="519"/>
      <c r="S9" s="519"/>
      <c r="T9" s="520"/>
      <c r="U9" s="520"/>
      <c r="V9" s="520"/>
      <c r="W9" s="520"/>
    </row>
    <row r="10" spans="1:23" ht="38.25" customHeight="1">
      <c r="A10" s="1057"/>
      <c r="B10" s="1058"/>
      <c r="C10" s="1059"/>
      <c r="D10" s="1049"/>
      <c r="E10" s="1049"/>
      <c r="F10" s="1048" t="s">
        <v>333</v>
      </c>
      <c r="G10" s="1048" t="s">
        <v>320</v>
      </c>
      <c r="H10" s="1049"/>
      <c r="I10" s="1048" t="s">
        <v>333</v>
      </c>
      <c r="J10" s="1048" t="s">
        <v>320</v>
      </c>
      <c r="K10" s="1049"/>
      <c r="L10" s="1049"/>
      <c r="M10" s="1049"/>
      <c r="N10" s="1012" t="s">
        <v>226</v>
      </c>
      <c r="O10" s="1013"/>
      <c r="P10" s="1014"/>
      <c r="Q10" s="915" t="s">
        <v>227</v>
      </c>
      <c r="R10" s="519"/>
      <c r="S10" s="519"/>
      <c r="T10" s="520"/>
      <c r="U10" s="520"/>
      <c r="V10" s="520"/>
      <c r="W10" s="520"/>
    </row>
    <row r="11" spans="1:23" ht="95.25" customHeight="1">
      <c r="A11" s="1060"/>
      <c r="B11" s="1061"/>
      <c r="C11" s="1062"/>
      <c r="D11" s="1050"/>
      <c r="E11" s="1050"/>
      <c r="F11" s="1050"/>
      <c r="G11" s="1050"/>
      <c r="H11" s="1050"/>
      <c r="I11" s="1050"/>
      <c r="J11" s="1050"/>
      <c r="K11" s="1050"/>
      <c r="L11" s="1050"/>
      <c r="M11" s="1050"/>
      <c r="N11" s="157" t="s">
        <v>228</v>
      </c>
      <c r="O11" s="157" t="s">
        <v>229</v>
      </c>
      <c r="P11" s="157" t="s">
        <v>230</v>
      </c>
      <c r="Q11" s="915"/>
      <c r="R11" s="519"/>
      <c r="S11" s="519"/>
      <c r="T11" s="520"/>
      <c r="U11" s="520"/>
      <c r="V11" s="520"/>
      <c r="W11" s="520"/>
    </row>
    <row r="12" spans="1:23" ht="15.75">
      <c r="A12" s="1051" t="s">
        <v>323</v>
      </c>
      <c r="B12" s="1052"/>
      <c r="C12" s="1053"/>
      <c r="D12" s="523">
        <v>-1</v>
      </c>
      <c r="E12" s="523">
        <v>-2</v>
      </c>
      <c r="F12" s="523">
        <v>-3</v>
      </c>
      <c r="G12" s="523">
        <v>-4</v>
      </c>
      <c r="H12" s="523">
        <v>-5</v>
      </c>
      <c r="I12" s="523">
        <v>-6</v>
      </c>
      <c r="J12" s="523">
        <v>-7</v>
      </c>
      <c r="K12" s="523">
        <v>-8</v>
      </c>
      <c r="L12" s="523">
        <v>-9</v>
      </c>
      <c r="M12" s="523">
        <v>-10</v>
      </c>
      <c r="N12" s="523">
        <v>-11</v>
      </c>
      <c r="O12" s="523">
        <v>-12</v>
      </c>
      <c r="P12" s="523">
        <v>-13</v>
      </c>
      <c r="Q12" s="523">
        <v>-14</v>
      </c>
      <c r="R12" s="519"/>
      <c r="S12" s="519"/>
      <c r="T12" s="520"/>
      <c r="U12" s="520"/>
      <c r="V12" s="520"/>
      <c r="W12" s="520"/>
    </row>
    <row r="13" spans="1:26" s="13" customFormat="1" ht="39.75" customHeight="1">
      <c r="A13" s="1063" t="s">
        <v>231</v>
      </c>
      <c r="B13" s="1064"/>
      <c r="C13" s="1065"/>
      <c r="D13" s="524">
        <f aca="true" t="shared" si="0" ref="D13:Q13">SUM(D14:D76)</f>
        <v>50534.5</v>
      </c>
      <c r="E13" s="524">
        <f t="shared" si="0"/>
        <v>50193</v>
      </c>
      <c r="F13" s="524">
        <f t="shared" si="0"/>
        <v>16684</v>
      </c>
      <c r="G13" s="524">
        <f t="shared" si="0"/>
        <v>33509</v>
      </c>
      <c r="H13" s="524">
        <f t="shared" si="0"/>
        <v>341.5</v>
      </c>
      <c r="I13" s="524">
        <f t="shared" si="0"/>
        <v>113.5</v>
      </c>
      <c r="J13" s="524">
        <f t="shared" si="0"/>
        <v>228</v>
      </c>
      <c r="K13" s="524">
        <f t="shared" si="0"/>
        <v>245739.5</v>
      </c>
      <c r="L13" s="524">
        <f t="shared" si="0"/>
        <v>81009.5</v>
      </c>
      <c r="M13" s="524">
        <f t="shared" si="0"/>
        <v>164730</v>
      </c>
      <c r="N13" s="524">
        <f t="shared" si="0"/>
        <v>19616</v>
      </c>
      <c r="O13" s="524">
        <f t="shared" si="0"/>
        <v>31710</v>
      </c>
      <c r="P13" s="524">
        <f t="shared" si="0"/>
        <v>113399</v>
      </c>
      <c r="Q13" s="524">
        <f t="shared" si="0"/>
        <v>5</v>
      </c>
      <c r="R13" s="525"/>
      <c r="S13" s="525"/>
      <c r="T13" s="526"/>
      <c r="U13" s="526"/>
      <c r="V13" s="526"/>
      <c r="W13" s="526"/>
      <c r="X13" s="526"/>
      <c r="Y13" s="526"/>
      <c r="Z13" s="527"/>
    </row>
    <row r="14" spans="1:26" s="345" customFormat="1" ht="20.25" customHeight="1">
      <c r="A14" s="59">
        <v>1</v>
      </c>
      <c r="B14" s="1018" t="s">
        <v>449</v>
      </c>
      <c r="C14" s="1019"/>
      <c r="D14" s="416">
        <f aca="true" t="shared" si="1" ref="D14:D45">E14+H14</f>
        <v>1</v>
      </c>
      <c r="E14" s="416">
        <f aca="true" t="shared" si="2" ref="E14:E45">F14+G14</f>
        <v>1</v>
      </c>
      <c r="F14" s="416">
        <v>0</v>
      </c>
      <c r="G14" s="10">
        <v>1</v>
      </c>
      <c r="H14" s="529">
        <f aca="true" t="shared" si="3" ref="H14:H45">I14+J14</f>
        <v>0</v>
      </c>
      <c r="I14" s="529">
        <f>(J14/4)*2</f>
        <v>0</v>
      </c>
      <c r="J14" s="10">
        <v>0</v>
      </c>
      <c r="K14" s="529">
        <f aca="true" t="shared" si="4" ref="K14:K45">L14+M14</f>
        <v>4161</v>
      </c>
      <c r="L14" s="529">
        <f aca="true" t="shared" si="5" ref="L14:L25">(M14/4)*2</f>
        <v>1387</v>
      </c>
      <c r="M14" s="529">
        <f aca="true" t="shared" si="6" ref="M14:M45">SUM(N14:Q14)</f>
        <v>2774</v>
      </c>
      <c r="N14" s="10">
        <v>327</v>
      </c>
      <c r="O14" s="10">
        <v>90</v>
      </c>
      <c r="P14" s="10">
        <f>1361+10+986</f>
        <v>2357</v>
      </c>
      <c r="Q14" s="10">
        <v>0</v>
      </c>
      <c r="R14" s="530" t="s">
        <v>232</v>
      </c>
      <c r="S14" s="530"/>
      <c r="T14" s="531"/>
      <c r="U14" s="531"/>
      <c r="V14" s="531"/>
      <c r="W14" s="531"/>
      <c r="X14" s="531"/>
      <c r="Y14" s="531"/>
      <c r="Z14" s="532"/>
    </row>
    <row r="15" spans="1:26" s="345" customFormat="1" ht="31.5" customHeight="1">
      <c r="A15" s="59">
        <v>2</v>
      </c>
      <c r="B15" s="1018" t="s">
        <v>233</v>
      </c>
      <c r="C15" s="1019"/>
      <c r="D15" s="416">
        <f t="shared" si="1"/>
        <v>694.5</v>
      </c>
      <c r="E15" s="416">
        <f t="shared" si="2"/>
        <v>694.5</v>
      </c>
      <c r="F15" s="416">
        <f aca="true" t="shared" si="7" ref="F15:F23">(G15/4)*2</f>
        <v>231.5</v>
      </c>
      <c r="G15" s="10">
        <v>463</v>
      </c>
      <c r="H15" s="529">
        <f t="shared" si="3"/>
        <v>0</v>
      </c>
      <c r="I15" s="533"/>
      <c r="J15" s="10">
        <v>0</v>
      </c>
      <c r="K15" s="529">
        <f t="shared" si="4"/>
        <v>3609</v>
      </c>
      <c r="L15" s="529">
        <f t="shared" si="5"/>
        <v>1203</v>
      </c>
      <c r="M15" s="529">
        <f t="shared" si="6"/>
        <v>2406</v>
      </c>
      <c r="N15" s="10">
        <v>106</v>
      </c>
      <c r="O15" s="10">
        <v>223</v>
      </c>
      <c r="P15" s="10">
        <f>1276+3+798</f>
        <v>2077</v>
      </c>
      <c r="Q15" s="10">
        <v>0</v>
      </c>
      <c r="R15" s="530"/>
      <c r="S15" s="530"/>
      <c r="T15" s="531"/>
      <c r="U15" s="531"/>
      <c r="V15" s="531"/>
      <c r="W15" s="531"/>
      <c r="X15" s="531"/>
      <c r="Y15" s="531"/>
      <c r="Z15" s="532"/>
    </row>
    <row r="16" spans="1:26" s="345" customFormat="1" ht="18" customHeight="1">
      <c r="A16" s="59">
        <v>3</v>
      </c>
      <c r="B16" s="1018" t="s">
        <v>451</v>
      </c>
      <c r="C16" s="1019"/>
      <c r="D16" s="416">
        <f t="shared" si="1"/>
        <v>0</v>
      </c>
      <c r="E16" s="416">
        <f t="shared" si="2"/>
        <v>0</v>
      </c>
      <c r="F16" s="416">
        <f t="shared" si="7"/>
        <v>0</v>
      </c>
      <c r="G16" s="10">
        <v>0</v>
      </c>
      <c r="H16" s="529">
        <f t="shared" si="3"/>
        <v>0</v>
      </c>
      <c r="I16" s="529">
        <f>(J16/4)*2</f>
        <v>0</v>
      </c>
      <c r="J16" s="10">
        <v>0</v>
      </c>
      <c r="K16" s="529">
        <f t="shared" si="4"/>
        <v>3225</v>
      </c>
      <c r="L16" s="529">
        <f t="shared" si="5"/>
        <v>1075</v>
      </c>
      <c r="M16" s="529">
        <f t="shared" si="6"/>
        <v>2150</v>
      </c>
      <c r="N16" s="10">
        <v>400</v>
      </c>
      <c r="O16" s="10">
        <v>500</v>
      </c>
      <c r="P16" s="10">
        <f>1100+20+130</f>
        <v>1250</v>
      </c>
      <c r="Q16" s="10">
        <v>0</v>
      </c>
      <c r="R16" s="530"/>
      <c r="S16" s="530"/>
      <c r="T16" s="531"/>
      <c r="U16" s="531"/>
      <c r="V16" s="531"/>
      <c r="W16" s="531"/>
      <c r="X16" s="531"/>
      <c r="Y16" s="531"/>
      <c r="Z16" s="532"/>
    </row>
    <row r="17" spans="1:26" s="345" customFormat="1" ht="18" customHeight="1">
      <c r="A17" s="59">
        <v>4</v>
      </c>
      <c r="B17" s="1031" t="s">
        <v>452</v>
      </c>
      <c r="C17" s="1032"/>
      <c r="D17" s="416">
        <f t="shared" si="1"/>
        <v>480</v>
      </c>
      <c r="E17" s="416">
        <f t="shared" si="2"/>
        <v>480</v>
      </c>
      <c r="F17" s="416">
        <f t="shared" si="7"/>
        <v>160</v>
      </c>
      <c r="G17" s="10">
        <v>320</v>
      </c>
      <c r="H17" s="529">
        <f t="shared" si="3"/>
        <v>0</v>
      </c>
      <c r="I17" s="533"/>
      <c r="J17" s="10">
        <v>0</v>
      </c>
      <c r="K17" s="529">
        <f t="shared" si="4"/>
        <v>823.5</v>
      </c>
      <c r="L17" s="529">
        <f t="shared" si="5"/>
        <v>274.5</v>
      </c>
      <c r="M17" s="529">
        <f t="shared" si="6"/>
        <v>549</v>
      </c>
      <c r="N17" s="10">
        <v>127</v>
      </c>
      <c r="O17" s="10">
        <v>126</v>
      </c>
      <c r="P17" s="10">
        <f>275+5+16</f>
        <v>296</v>
      </c>
      <c r="Q17" s="10">
        <v>0</v>
      </c>
      <c r="R17" s="530"/>
      <c r="S17" s="530"/>
      <c r="T17" s="531"/>
      <c r="U17" s="531"/>
      <c r="V17" s="531"/>
      <c r="W17" s="531"/>
      <c r="X17" s="531"/>
      <c r="Y17" s="531"/>
      <c r="Z17" s="532"/>
    </row>
    <row r="18" spans="1:26" s="345" customFormat="1" ht="18" customHeight="1">
      <c r="A18" s="59">
        <v>5</v>
      </c>
      <c r="B18" s="1031" t="s">
        <v>453</v>
      </c>
      <c r="C18" s="1032"/>
      <c r="D18" s="416">
        <f t="shared" si="1"/>
        <v>964.5</v>
      </c>
      <c r="E18" s="416">
        <f t="shared" si="2"/>
        <v>964.5</v>
      </c>
      <c r="F18" s="416">
        <f t="shared" si="7"/>
        <v>321.5</v>
      </c>
      <c r="G18" s="10">
        <v>643</v>
      </c>
      <c r="H18" s="529">
        <f t="shared" si="3"/>
        <v>0</v>
      </c>
      <c r="I18" s="529">
        <f aca="true" t="shared" si="8" ref="I18:I32">(J18/4)*2</f>
        <v>0</v>
      </c>
      <c r="J18" s="10">
        <v>0</v>
      </c>
      <c r="K18" s="529">
        <f t="shared" si="4"/>
        <v>2946</v>
      </c>
      <c r="L18" s="529">
        <f t="shared" si="5"/>
        <v>982</v>
      </c>
      <c r="M18" s="529">
        <f t="shared" si="6"/>
        <v>1964</v>
      </c>
      <c r="N18" s="10">
        <v>209</v>
      </c>
      <c r="O18" s="10">
        <v>334</v>
      </c>
      <c r="P18" s="10">
        <f>906+515</f>
        <v>1421</v>
      </c>
      <c r="Q18" s="10">
        <v>0</v>
      </c>
      <c r="R18" s="530"/>
      <c r="S18" s="530"/>
      <c r="T18" s="531"/>
      <c r="U18" s="531"/>
      <c r="V18" s="531"/>
      <c r="W18" s="531"/>
      <c r="X18" s="531"/>
      <c r="Y18" s="531"/>
      <c r="Z18" s="532"/>
    </row>
    <row r="19" spans="1:26" s="345" customFormat="1" ht="18" customHeight="1">
      <c r="A19" s="59">
        <v>6</v>
      </c>
      <c r="B19" s="1031" t="s">
        <v>454</v>
      </c>
      <c r="C19" s="1032"/>
      <c r="D19" s="416">
        <f t="shared" si="1"/>
        <v>1920</v>
      </c>
      <c r="E19" s="416">
        <f t="shared" si="2"/>
        <v>1644</v>
      </c>
      <c r="F19" s="416">
        <f t="shared" si="7"/>
        <v>548</v>
      </c>
      <c r="G19" s="10">
        <v>1096</v>
      </c>
      <c r="H19" s="529">
        <f t="shared" si="3"/>
        <v>276</v>
      </c>
      <c r="I19" s="529">
        <f t="shared" si="8"/>
        <v>92</v>
      </c>
      <c r="J19" s="10">
        <v>184</v>
      </c>
      <c r="K19" s="529">
        <f t="shared" si="4"/>
        <v>4266</v>
      </c>
      <c r="L19" s="529">
        <f t="shared" si="5"/>
        <v>1422</v>
      </c>
      <c r="M19" s="529">
        <f t="shared" si="6"/>
        <v>2844</v>
      </c>
      <c r="N19" s="10">
        <v>218</v>
      </c>
      <c r="O19" s="10">
        <v>566</v>
      </c>
      <c r="P19" s="10">
        <f>1134+88+837</f>
        <v>2059</v>
      </c>
      <c r="Q19" s="10">
        <v>1</v>
      </c>
      <c r="R19" s="530"/>
      <c r="S19" s="530"/>
      <c r="T19" s="531"/>
      <c r="U19" s="531"/>
      <c r="V19" s="531"/>
      <c r="W19" s="531"/>
      <c r="X19" s="531"/>
      <c r="Y19" s="531"/>
      <c r="Z19" s="532"/>
    </row>
    <row r="20" spans="1:26" s="345" customFormat="1" ht="18" customHeight="1">
      <c r="A20" s="59">
        <v>7</v>
      </c>
      <c r="B20" s="1031" t="s">
        <v>455</v>
      </c>
      <c r="C20" s="1032"/>
      <c r="D20" s="416">
        <f t="shared" si="1"/>
        <v>1170</v>
      </c>
      <c r="E20" s="416">
        <f t="shared" si="2"/>
        <v>1170</v>
      </c>
      <c r="F20" s="416">
        <f t="shared" si="7"/>
        <v>390</v>
      </c>
      <c r="G20" s="10">
        <v>780</v>
      </c>
      <c r="H20" s="529">
        <f t="shared" si="3"/>
        <v>0</v>
      </c>
      <c r="I20" s="529">
        <f t="shared" si="8"/>
        <v>0</v>
      </c>
      <c r="J20" s="10">
        <v>0</v>
      </c>
      <c r="K20" s="529">
        <f t="shared" si="4"/>
        <v>3885</v>
      </c>
      <c r="L20" s="529">
        <f t="shared" si="5"/>
        <v>1295</v>
      </c>
      <c r="M20" s="529">
        <f t="shared" si="6"/>
        <v>2590</v>
      </c>
      <c r="N20" s="10">
        <v>295</v>
      </c>
      <c r="O20" s="10">
        <v>630</v>
      </c>
      <c r="P20" s="10">
        <f>1658+5+2</f>
        <v>1665</v>
      </c>
      <c r="Q20" s="10">
        <v>0</v>
      </c>
      <c r="R20" s="530"/>
      <c r="S20" s="530"/>
      <c r="T20" s="531"/>
      <c r="U20" s="531"/>
      <c r="V20" s="531"/>
      <c r="W20" s="531"/>
      <c r="X20" s="531"/>
      <c r="Y20" s="531"/>
      <c r="Z20" s="532"/>
    </row>
    <row r="21" spans="1:26" ht="18" customHeight="1">
      <c r="A21" s="59">
        <v>8</v>
      </c>
      <c r="B21" s="1038" t="s">
        <v>456</v>
      </c>
      <c r="C21" s="1039"/>
      <c r="D21" s="416">
        <f t="shared" si="1"/>
        <v>1237.5</v>
      </c>
      <c r="E21" s="416">
        <f t="shared" si="2"/>
        <v>1237.5</v>
      </c>
      <c r="F21" s="416">
        <f t="shared" si="7"/>
        <v>412.5</v>
      </c>
      <c r="G21" s="10">
        <v>825</v>
      </c>
      <c r="H21" s="529">
        <f t="shared" si="3"/>
        <v>0</v>
      </c>
      <c r="I21" s="529">
        <f t="shared" si="8"/>
        <v>0</v>
      </c>
      <c r="J21" s="10">
        <v>0</v>
      </c>
      <c r="K21" s="529">
        <f t="shared" si="4"/>
        <v>3843</v>
      </c>
      <c r="L21" s="529">
        <f t="shared" si="5"/>
        <v>1281</v>
      </c>
      <c r="M21" s="529">
        <f t="shared" si="6"/>
        <v>2562</v>
      </c>
      <c r="N21" s="10">
        <v>455</v>
      </c>
      <c r="O21" s="10">
        <v>76</v>
      </c>
      <c r="P21" s="10">
        <f>1893+20+118</f>
        <v>2031</v>
      </c>
      <c r="Q21" s="10">
        <v>0</v>
      </c>
      <c r="R21" s="530"/>
      <c r="S21" s="530"/>
      <c r="T21" s="531"/>
      <c r="U21" s="531"/>
      <c r="V21" s="531"/>
      <c r="W21" s="531"/>
      <c r="X21" s="531"/>
      <c r="Y21" s="531"/>
      <c r="Z21" s="536"/>
    </row>
    <row r="22" spans="1:26" ht="18" customHeight="1">
      <c r="A22" s="59">
        <v>9</v>
      </c>
      <c r="B22" s="1031" t="s">
        <v>457</v>
      </c>
      <c r="C22" s="1032"/>
      <c r="D22" s="416">
        <f t="shared" si="1"/>
        <v>1053</v>
      </c>
      <c r="E22" s="416">
        <f t="shared" si="2"/>
        <v>1053</v>
      </c>
      <c r="F22" s="416">
        <f t="shared" si="7"/>
        <v>351</v>
      </c>
      <c r="G22" s="10">
        <v>702</v>
      </c>
      <c r="H22" s="529">
        <f t="shared" si="3"/>
        <v>0</v>
      </c>
      <c r="I22" s="529">
        <f t="shared" si="8"/>
        <v>0</v>
      </c>
      <c r="J22" s="10">
        <v>0</v>
      </c>
      <c r="K22" s="529">
        <f t="shared" si="4"/>
        <v>2256</v>
      </c>
      <c r="L22" s="529">
        <f t="shared" si="5"/>
        <v>752</v>
      </c>
      <c r="M22" s="529">
        <f t="shared" si="6"/>
        <v>1504</v>
      </c>
      <c r="N22" s="10">
        <v>37</v>
      </c>
      <c r="O22" s="10">
        <v>710</v>
      </c>
      <c r="P22" s="10">
        <f>653+0+0+104</f>
        <v>757</v>
      </c>
      <c r="Q22" s="10">
        <v>0</v>
      </c>
      <c r="R22" s="530"/>
      <c r="S22" s="530"/>
      <c r="T22" s="531"/>
      <c r="U22" s="531"/>
      <c r="V22" s="531"/>
      <c r="W22" s="531"/>
      <c r="X22" s="531"/>
      <c r="Y22" s="531"/>
      <c r="Z22" s="536"/>
    </row>
    <row r="23" spans="1:26" ht="18" customHeight="1">
      <c r="A23" s="59">
        <v>10</v>
      </c>
      <c r="B23" s="1031" t="s">
        <v>362</v>
      </c>
      <c r="C23" s="1032"/>
      <c r="D23" s="416">
        <f t="shared" si="1"/>
        <v>441</v>
      </c>
      <c r="E23" s="416">
        <f t="shared" si="2"/>
        <v>441</v>
      </c>
      <c r="F23" s="537">
        <f t="shared" si="7"/>
        <v>147</v>
      </c>
      <c r="G23" s="10">
        <v>294</v>
      </c>
      <c r="H23" s="529">
        <f t="shared" si="3"/>
        <v>0</v>
      </c>
      <c r="I23" s="529">
        <f t="shared" si="8"/>
        <v>0</v>
      </c>
      <c r="J23" s="10">
        <v>0</v>
      </c>
      <c r="K23" s="529">
        <f t="shared" si="4"/>
        <v>3561</v>
      </c>
      <c r="L23" s="538">
        <f t="shared" si="5"/>
        <v>1187</v>
      </c>
      <c r="M23" s="529">
        <f t="shared" si="6"/>
        <v>2374</v>
      </c>
      <c r="N23" s="10">
        <v>328</v>
      </c>
      <c r="O23" s="10">
        <v>1094</v>
      </c>
      <c r="P23" s="10">
        <f>425+13+514</f>
        <v>952</v>
      </c>
      <c r="Q23" s="10">
        <v>0</v>
      </c>
      <c r="R23" s="530"/>
      <c r="S23" s="530"/>
      <c r="T23" s="531"/>
      <c r="U23" s="531"/>
      <c r="V23" s="531"/>
      <c r="W23" s="531"/>
      <c r="X23" s="531"/>
      <c r="Y23" s="531"/>
      <c r="Z23" s="536"/>
    </row>
    <row r="24" spans="1:26" ht="18" customHeight="1">
      <c r="A24" s="59">
        <v>11</v>
      </c>
      <c r="B24" s="1031" t="s">
        <v>363</v>
      </c>
      <c r="C24" s="1032"/>
      <c r="D24" s="416">
        <f t="shared" si="1"/>
        <v>801</v>
      </c>
      <c r="E24" s="416">
        <f t="shared" si="2"/>
        <v>801</v>
      </c>
      <c r="F24" s="539">
        <v>300</v>
      </c>
      <c r="G24" s="10">
        <v>501</v>
      </c>
      <c r="H24" s="529">
        <f t="shared" si="3"/>
        <v>0</v>
      </c>
      <c r="I24" s="529">
        <f t="shared" si="8"/>
        <v>0</v>
      </c>
      <c r="J24" s="10">
        <v>0</v>
      </c>
      <c r="K24" s="529">
        <f t="shared" si="4"/>
        <v>2325</v>
      </c>
      <c r="L24" s="529">
        <f t="shared" si="5"/>
        <v>775</v>
      </c>
      <c r="M24" s="529">
        <f t="shared" si="6"/>
        <v>1550</v>
      </c>
      <c r="N24" s="10">
        <v>342</v>
      </c>
      <c r="O24" s="10">
        <v>54</v>
      </c>
      <c r="P24" s="10">
        <f>1133+21</f>
        <v>1154</v>
      </c>
      <c r="Q24" s="10">
        <v>0</v>
      </c>
      <c r="R24" s="530"/>
      <c r="S24" s="530"/>
      <c r="T24" s="531"/>
      <c r="U24" s="531"/>
      <c r="V24" s="531"/>
      <c r="W24" s="531"/>
      <c r="X24" s="531"/>
      <c r="Y24" s="531"/>
      <c r="Z24" s="536"/>
    </row>
    <row r="25" spans="1:26" ht="18" customHeight="1">
      <c r="A25" s="59">
        <v>12</v>
      </c>
      <c r="B25" s="1031" t="s">
        <v>364</v>
      </c>
      <c r="C25" s="1032"/>
      <c r="D25" s="416">
        <f t="shared" si="1"/>
        <v>253</v>
      </c>
      <c r="E25" s="416">
        <f t="shared" si="2"/>
        <v>253</v>
      </c>
      <c r="F25" s="416">
        <v>84</v>
      </c>
      <c r="G25" s="10">
        <v>169</v>
      </c>
      <c r="H25" s="529">
        <f t="shared" si="3"/>
        <v>0</v>
      </c>
      <c r="I25" s="529">
        <f t="shared" si="8"/>
        <v>0</v>
      </c>
      <c r="J25" s="10">
        <v>0</v>
      </c>
      <c r="K25" s="529">
        <f t="shared" si="4"/>
        <v>5778</v>
      </c>
      <c r="L25" s="529">
        <f t="shared" si="5"/>
        <v>1926</v>
      </c>
      <c r="M25" s="529">
        <f t="shared" si="6"/>
        <v>3852</v>
      </c>
      <c r="N25" s="10">
        <v>1016</v>
      </c>
      <c r="O25" s="10">
        <v>927</v>
      </c>
      <c r="P25" s="10">
        <f>1569+0+10+330</f>
        <v>1909</v>
      </c>
      <c r="Q25" s="10">
        <v>0</v>
      </c>
      <c r="R25" s="530"/>
      <c r="S25" s="530"/>
      <c r="T25" s="531"/>
      <c r="U25" s="531"/>
      <c r="V25" s="531"/>
      <c r="W25" s="531"/>
      <c r="X25" s="531"/>
      <c r="Y25" s="531"/>
      <c r="Z25" s="536"/>
    </row>
    <row r="26" spans="1:26" ht="18" customHeight="1">
      <c r="A26" s="59">
        <v>13</v>
      </c>
      <c r="B26" s="1031" t="s">
        <v>365</v>
      </c>
      <c r="C26" s="1032"/>
      <c r="D26" s="419">
        <f t="shared" si="1"/>
        <v>328</v>
      </c>
      <c r="E26" s="416">
        <f t="shared" si="2"/>
        <v>328</v>
      </c>
      <c r="F26" s="416">
        <v>109</v>
      </c>
      <c r="G26" s="10">
        <v>219</v>
      </c>
      <c r="H26" s="529">
        <f t="shared" si="3"/>
        <v>0</v>
      </c>
      <c r="I26" s="529">
        <f t="shared" si="8"/>
        <v>0</v>
      </c>
      <c r="J26" s="10">
        <v>0</v>
      </c>
      <c r="K26" s="529">
        <f t="shared" si="4"/>
        <v>5365</v>
      </c>
      <c r="L26" s="529">
        <v>1788</v>
      </c>
      <c r="M26" s="529">
        <f t="shared" si="6"/>
        <v>3577</v>
      </c>
      <c r="N26" s="10">
        <v>779</v>
      </c>
      <c r="O26" s="10">
        <v>551</v>
      </c>
      <c r="P26" s="10">
        <f>2247+0+0+0</f>
        <v>2247</v>
      </c>
      <c r="Q26" s="10">
        <v>0</v>
      </c>
      <c r="R26" s="530" t="s">
        <v>234</v>
      </c>
      <c r="S26" s="530"/>
      <c r="T26" s="531"/>
      <c r="U26" s="531"/>
      <c r="V26" s="531"/>
      <c r="W26" s="531"/>
      <c r="X26" s="531"/>
      <c r="Y26" s="531"/>
      <c r="Z26" s="536"/>
    </row>
    <row r="27" spans="1:26" ht="18" customHeight="1">
      <c r="A27" s="59">
        <v>14</v>
      </c>
      <c r="B27" s="1031" t="s">
        <v>366</v>
      </c>
      <c r="C27" s="1032"/>
      <c r="D27" s="416">
        <f t="shared" si="1"/>
        <v>667</v>
      </c>
      <c r="E27" s="416">
        <f t="shared" si="2"/>
        <v>667</v>
      </c>
      <c r="F27" s="416">
        <v>222</v>
      </c>
      <c r="G27" s="10">
        <v>445</v>
      </c>
      <c r="H27" s="529">
        <f t="shared" si="3"/>
        <v>0</v>
      </c>
      <c r="I27" s="529">
        <f t="shared" si="8"/>
        <v>0</v>
      </c>
      <c r="J27" s="10">
        <v>0</v>
      </c>
      <c r="K27" s="529">
        <f t="shared" si="4"/>
        <v>1900</v>
      </c>
      <c r="L27" s="529">
        <v>634</v>
      </c>
      <c r="M27" s="529">
        <f t="shared" si="6"/>
        <v>1266</v>
      </c>
      <c r="N27" s="10">
        <v>80</v>
      </c>
      <c r="O27" s="10">
        <v>341</v>
      </c>
      <c r="P27" s="10">
        <f>774+0+30+41</f>
        <v>845</v>
      </c>
      <c r="Q27" s="10">
        <v>0</v>
      </c>
      <c r="R27" s="530"/>
      <c r="S27" s="530"/>
      <c r="T27" s="531"/>
      <c r="U27" s="531"/>
      <c r="V27" s="531"/>
      <c r="W27" s="531"/>
      <c r="X27" s="531"/>
      <c r="Y27" s="531"/>
      <c r="Z27" s="536"/>
    </row>
    <row r="28" spans="1:26" ht="18" customHeight="1">
      <c r="A28" s="59">
        <v>15</v>
      </c>
      <c r="B28" s="1031" t="s">
        <v>367</v>
      </c>
      <c r="C28" s="1032"/>
      <c r="D28" s="416">
        <f t="shared" si="1"/>
        <v>1402.5</v>
      </c>
      <c r="E28" s="416">
        <f t="shared" si="2"/>
        <v>1402.5</v>
      </c>
      <c r="F28" s="416">
        <f>(G28/4)*2</f>
        <v>467.5</v>
      </c>
      <c r="G28" s="10">
        <v>935</v>
      </c>
      <c r="H28" s="529">
        <f t="shared" si="3"/>
        <v>0</v>
      </c>
      <c r="I28" s="529">
        <f t="shared" si="8"/>
        <v>0</v>
      </c>
      <c r="J28" s="10">
        <v>0</v>
      </c>
      <c r="K28" s="529">
        <f t="shared" si="4"/>
        <v>5572.5</v>
      </c>
      <c r="L28" s="529">
        <f>(M28/4)*2</f>
        <v>1857.5</v>
      </c>
      <c r="M28" s="529">
        <f t="shared" si="6"/>
        <v>3715</v>
      </c>
      <c r="N28" s="10">
        <v>565</v>
      </c>
      <c r="O28" s="10">
        <v>1196</v>
      </c>
      <c r="P28" s="10">
        <f>1917+37</f>
        <v>1954</v>
      </c>
      <c r="Q28" s="10">
        <v>0</v>
      </c>
      <c r="R28" s="530"/>
      <c r="S28" s="530"/>
      <c r="T28" s="531"/>
      <c r="U28" s="531"/>
      <c r="V28" s="531"/>
      <c r="W28" s="531"/>
      <c r="X28" s="531"/>
      <c r="Y28" s="531"/>
      <c r="Z28" s="536"/>
    </row>
    <row r="29" spans="1:26" ht="15.75">
      <c r="A29" s="540">
        <v>16</v>
      </c>
      <c r="B29" s="1031" t="s">
        <v>368</v>
      </c>
      <c r="C29" s="1032"/>
      <c r="D29" s="416">
        <f t="shared" si="1"/>
        <v>741</v>
      </c>
      <c r="E29" s="416">
        <f t="shared" si="2"/>
        <v>741</v>
      </c>
      <c r="F29" s="416">
        <f>(G29/4)*2</f>
        <v>247</v>
      </c>
      <c r="G29" s="10">
        <v>494</v>
      </c>
      <c r="H29" s="529">
        <f t="shared" si="3"/>
        <v>0</v>
      </c>
      <c r="I29" s="529">
        <f t="shared" si="8"/>
        <v>0</v>
      </c>
      <c r="J29" s="10">
        <v>0</v>
      </c>
      <c r="K29" s="529">
        <f t="shared" si="4"/>
        <v>7983</v>
      </c>
      <c r="L29" s="529">
        <f>(M29/4)*2</f>
        <v>2661</v>
      </c>
      <c r="M29" s="529">
        <f t="shared" si="6"/>
        <v>5322</v>
      </c>
      <c r="N29" s="10">
        <v>680</v>
      </c>
      <c r="O29" s="10">
        <v>1342</v>
      </c>
      <c r="P29" s="10">
        <f>3193+0+107+0</f>
        <v>3300</v>
      </c>
      <c r="Q29" s="10">
        <v>0</v>
      </c>
      <c r="R29" s="530"/>
      <c r="S29" s="530"/>
      <c r="T29" s="531"/>
      <c r="U29" s="531"/>
      <c r="V29" s="531"/>
      <c r="W29" s="531"/>
      <c r="X29" s="531"/>
      <c r="Y29" s="531"/>
      <c r="Z29" s="536"/>
    </row>
    <row r="30" spans="1:26" ht="15.75">
      <c r="A30" s="540">
        <v>17</v>
      </c>
      <c r="B30" s="1067" t="s">
        <v>369</v>
      </c>
      <c r="C30" s="1067"/>
      <c r="D30" s="416">
        <f t="shared" si="1"/>
        <v>189</v>
      </c>
      <c r="E30" s="416">
        <f t="shared" si="2"/>
        <v>189</v>
      </c>
      <c r="F30" s="416">
        <f>(G30/4)*2</f>
        <v>63</v>
      </c>
      <c r="G30" s="10">
        <v>126</v>
      </c>
      <c r="H30" s="529">
        <f t="shared" si="3"/>
        <v>0</v>
      </c>
      <c r="I30" s="529">
        <f t="shared" si="8"/>
        <v>0</v>
      </c>
      <c r="J30" s="10">
        <v>0</v>
      </c>
      <c r="K30" s="529">
        <f t="shared" si="4"/>
        <v>1879.5</v>
      </c>
      <c r="L30" s="529">
        <f>(M30/4)*2</f>
        <v>626.5</v>
      </c>
      <c r="M30" s="529">
        <f t="shared" si="6"/>
        <v>1253</v>
      </c>
      <c r="N30" s="10">
        <v>110</v>
      </c>
      <c r="O30" s="10">
        <v>241</v>
      </c>
      <c r="P30" s="10">
        <f>814+59+29</f>
        <v>902</v>
      </c>
      <c r="Q30" s="10">
        <v>0</v>
      </c>
      <c r="R30" s="530"/>
      <c r="S30" s="530"/>
      <c r="T30" s="531"/>
      <c r="U30" s="531"/>
      <c r="V30" s="531"/>
      <c r="W30" s="531"/>
      <c r="X30" s="531"/>
      <c r="Y30" s="531"/>
      <c r="Z30" s="536"/>
    </row>
    <row r="31" spans="1:26" ht="15.75">
      <c r="A31" s="540">
        <v>18</v>
      </c>
      <c r="B31" s="1067" t="s">
        <v>370</v>
      </c>
      <c r="C31" s="1067"/>
      <c r="D31" s="416">
        <f t="shared" si="1"/>
        <v>415.5</v>
      </c>
      <c r="E31" s="416">
        <f t="shared" si="2"/>
        <v>415.5</v>
      </c>
      <c r="F31" s="416">
        <f>(G31/4)*2</f>
        <v>138.5</v>
      </c>
      <c r="G31" s="10">
        <v>277</v>
      </c>
      <c r="H31" s="529">
        <f t="shared" si="3"/>
        <v>0</v>
      </c>
      <c r="I31" s="529">
        <f t="shared" si="8"/>
        <v>0</v>
      </c>
      <c r="J31" s="10">
        <v>0</v>
      </c>
      <c r="K31" s="529">
        <f t="shared" si="4"/>
        <v>2347</v>
      </c>
      <c r="L31" s="529">
        <v>782</v>
      </c>
      <c r="M31" s="529">
        <f t="shared" si="6"/>
        <v>1565</v>
      </c>
      <c r="N31" s="10">
        <v>266</v>
      </c>
      <c r="O31" s="10">
        <v>475</v>
      </c>
      <c r="P31" s="10">
        <f>778+1+19+26</f>
        <v>824</v>
      </c>
      <c r="Q31" s="10">
        <v>0</v>
      </c>
      <c r="R31" s="530"/>
      <c r="S31" s="530"/>
      <c r="T31" s="531"/>
      <c r="U31" s="531"/>
      <c r="V31" s="531"/>
      <c r="W31" s="531"/>
      <c r="X31" s="531"/>
      <c r="Y31" s="531"/>
      <c r="Z31" s="536"/>
    </row>
    <row r="32" spans="1:26" ht="15.75">
      <c r="A32" s="540">
        <v>19</v>
      </c>
      <c r="B32" s="1066" t="s">
        <v>371</v>
      </c>
      <c r="C32" s="1066"/>
      <c r="D32" s="419">
        <f>E32+H32</f>
        <v>625</v>
      </c>
      <c r="E32" s="416">
        <f t="shared" si="2"/>
        <v>625</v>
      </c>
      <c r="F32" s="416">
        <v>208</v>
      </c>
      <c r="G32" s="10">
        <v>417</v>
      </c>
      <c r="H32" s="529">
        <f t="shared" si="3"/>
        <v>0</v>
      </c>
      <c r="I32" s="529">
        <f t="shared" si="8"/>
        <v>0</v>
      </c>
      <c r="J32" s="10">
        <v>0</v>
      </c>
      <c r="K32" s="529">
        <f t="shared" si="4"/>
        <v>11643</v>
      </c>
      <c r="L32" s="529">
        <f>(M32/4)*2</f>
        <v>3881</v>
      </c>
      <c r="M32" s="529">
        <f t="shared" si="6"/>
        <v>7762</v>
      </c>
      <c r="N32" s="10">
        <v>1034</v>
      </c>
      <c r="O32" s="10">
        <v>749</v>
      </c>
      <c r="P32" s="10">
        <f>5974+5</f>
        <v>5979</v>
      </c>
      <c r="Q32" s="10">
        <v>0</v>
      </c>
      <c r="R32" s="530" t="s">
        <v>235</v>
      </c>
      <c r="S32" s="530"/>
      <c r="T32" s="531"/>
      <c r="U32" s="531"/>
      <c r="V32" s="531"/>
      <c r="W32" s="531"/>
      <c r="X32" s="531"/>
      <c r="Y32" s="531"/>
      <c r="Z32" s="536"/>
    </row>
    <row r="33" spans="1:26" ht="15.75">
      <c r="A33" s="540">
        <v>20</v>
      </c>
      <c r="B33" s="1066" t="s">
        <v>372</v>
      </c>
      <c r="C33" s="1066"/>
      <c r="D33" s="416">
        <f t="shared" si="1"/>
        <v>1331</v>
      </c>
      <c r="E33" s="416">
        <f t="shared" si="2"/>
        <v>1330</v>
      </c>
      <c r="F33" s="416">
        <v>443</v>
      </c>
      <c r="G33" s="10">
        <v>887</v>
      </c>
      <c r="H33" s="529">
        <f t="shared" si="3"/>
        <v>1</v>
      </c>
      <c r="I33" s="529">
        <v>0</v>
      </c>
      <c r="J33" s="10">
        <v>1</v>
      </c>
      <c r="K33" s="529">
        <f t="shared" si="4"/>
        <v>3249</v>
      </c>
      <c r="L33" s="529">
        <f>(M33/4)*2</f>
        <v>1083</v>
      </c>
      <c r="M33" s="529">
        <f t="shared" si="6"/>
        <v>2166</v>
      </c>
      <c r="N33" s="10">
        <v>158</v>
      </c>
      <c r="O33" s="10">
        <v>487</v>
      </c>
      <c r="P33" s="10">
        <f>1376+35+110</f>
        <v>1521</v>
      </c>
      <c r="Q33" s="10">
        <v>0</v>
      </c>
      <c r="R33" s="530"/>
      <c r="S33" s="530"/>
      <c r="T33" s="531"/>
      <c r="U33" s="531"/>
      <c r="V33" s="531"/>
      <c r="W33" s="531"/>
      <c r="X33" s="531"/>
      <c r="Y33" s="531"/>
      <c r="Z33" s="536"/>
    </row>
    <row r="34" spans="1:26" ht="15.75">
      <c r="A34" s="540">
        <v>21</v>
      </c>
      <c r="B34" s="1066" t="s">
        <v>373</v>
      </c>
      <c r="C34" s="1066"/>
      <c r="D34" s="416">
        <f t="shared" si="1"/>
        <v>12</v>
      </c>
      <c r="E34" s="416">
        <f t="shared" si="2"/>
        <v>12</v>
      </c>
      <c r="F34" s="416">
        <f>(G34/4)*2</f>
        <v>4</v>
      </c>
      <c r="G34" s="10">
        <v>8</v>
      </c>
      <c r="H34" s="529">
        <f t="shared" si="3"/>
        <v>0</v>
      </c>
      <c r="I34" s="529">
        <f aca="true" t="shared" si="9" ref="I34:I76">(J34/4)*2</f>
        <v>0</v>
      </c>
      <c r="J34" s="10">
        <v>0</v>
      </c>
      <c r="K34" s="529">
        <f t="shared" si="4"/>
        <v>3238.5</v>
      </c>
      <c r="L34" s="529">
        <f>(M34/4)*2</f>
        <v>1079.5</v>
      </c>
      <c r="M34" s="529">
        <f t="shared" si="6"/>
        <v>2159</v>
      </c>
      <c r="N34" s="10">
        <v>320</v>
      </c>
      <c r="O34" s="10">
        <v>174</v>
      </c>
      <c r="P34" s="10">
        <f>1524+27+113</f>
        <v>1664</v>
      </c>
      <c r="Q34" s="10">
        <v>1</v>
      </c>
      <c r="R34" s="530" t="s">
        <v>236</v>
      </c>
      <c r="S34" s="530"/>
      <c r="T34" s="531"/>
      <c r="U34" s="531"/>
      <c r="V34" s="531"/>
      <c r="W34" s="531"/>
      <c r="X34" s="531"/>
      <c r="Y34" s="531"/>
      <c r="Z34" s="536"/>
    </row>
    <row r="35" spans="1:26" ht="15.75">
      <c r="A35" s="540">
        <v>22</v>
      </c>
      <c r="B35" s="1066" t="s">
        <v>374</v>
      </c>
      <c r="C35" s="1066"/>
      <c r="D35" s="416">
        <f t="shared" si="1"/>
        <v>298</v>
      </c>
      <c r="E35" s="416">
        <f t="shared" si="2"/>
        <v>298</v>
      </c>
      <c r="F35" s="539">
        <v>75</v>
      </c>
      <c r="G35" s="10">
        <v>223</v>
      </c>
      <c r="H35" s="529">
        <f t="shared" si="3"/>
        <v>0</v>
      </c>
      <c r="I35" s="529">
        <f t="shared" si="9"/>
        <v>0</v>
      </c>
      <c r="J35" s="10">
        <v>0</v>
      </c>
      <c r="K35" s="529">
        <f t="shared" si="4"/>
        <v>1647</v>
      </c>
      <c r="L35" s="529">
        <f>(M35/4)*2</f>
        <v>549</v>
      </c>
      <c r="M35" s="529">
        <f t="shared" si="6"/>
        <v>1098</v>
      </c>
      <c r="N35" s="10">
        <v>118</v>
      </c>
      <c r="O35" s="10">
        <v>227</v>
      </c>
      <c r="P35" s="10">
        <f>476+13+264</f>
        <v>753</v>
      </c>
      <c r="Q35" s="10">
        <v>0</v>
      </c>
      <c r="R35" s="530"/>
      <c r="S35" s="530"/>
      <c r="T35" s="531"/>
      <c r="U35" s="531"/>
      <c r="V35" s="531"/>
      <c r="W35" s="531"/>
      <c r="X35" s="531"/>
      <c r="Y35" s="531"/>
      <c r="Z35" s="536"/>
    </row>
    <row r="36" spans="1:26" ht="15.75">
      <c r="A36" s="540">
        <v>23</v>
      </c>
      <c r="B36" s="1066" t="s">
        <v>375</v>
      </c>
      <c r="C36" s="1066"/>
      <c r="D36" s="416">
        <f t="shared" si="1"/>
        <v>946.5</v>
      </c>
      <c r="E36" s="416">
        <f t="shared" si="2"/>
        <v>942</v>
      </c>
      <c r="F36" s="539">
        <v>320</v>
      </c>
      <c r="G36" s="10">
        <v>622</v>
      </c>
      <c r="H36" s="529">
        <f t="shared" si="3"/>
        <v>4.5</v>
      </c>
      <c r="I36" s="529">
        <f t="shared" si="9"/>
        <v>1.5</v>
      </c>
      <c r="J36" s="10">
        <v>3</v>
      </c>
      <c r="K36" s="529">
        <f t="shared" si="4"/>
        <v>724</v>
      </c>
      <c r="L36" s="533">
        <v>250</v>
      </c>
      <c r="M36" s="529">
        <f t="shared" si="6"/>
        <v>474</v>
      </c>
      <c r="N36" s="10">
        <v>106</v>
      </c>
      <c r="O36" s="10">
        <v>27</v>
      </c>
      <c r="P36" s="10">
        <f>291+50</f>
        <v>341</v>
      </c>
      <c r="Q36" s="10">
        <v>0</v>
      </c>
      <c r="R36" s="530"/>
      <c r="S36" s="530"/>
      <c r="T36" s="531"/>
      <c r="U36" s="531"/>
      <c r="V36" s="531"/>
      <c r="W36" s="531"/>
      <c r="X36" s="531"/>
      <c r="Y36" s="531"/>
      <c r="Z36" s="536"/>
    </row>
    <row r="37" spans="1:26" ht="15.75">
      <c r="A37" s="540">
        <v>24</v>
      </c>
      <c r="B37" s="1066" t="s">
        <v>376</v>
      </c>
      <c r="C37" s="1066"/>
      <c r="D37" s="416">
        <f t="shared" si="1"/>
        <v>7875</v>
      </c>
      <c r="E37" s="416">
        <f t="shared" si="2"/>
        <v>7875</v>
      </c>
      <c r="F37" s="539">
        <v>2500</v>
      </c>
      <c r="G37" s="10">
        <v>5375</v>
      </c>
      <c r="H37" s="529">
        <f t="shared" si="3"/>
        <v>0</v>
      </c>
      <c r="I37" s="529">
        <f t="shared" si="9"/>
        <v>0</v>
      </c>
      <c r="J37" s="10">
        <v>0</v>
      </c>
      <c r="K37" s="529">
        <f t="shared" si="4"/>
        <v>19100</v>
      </c>
      <c r="L37" s="533">
        <v>6000</v>
      </c>
      <c r="M37" s="529">
        <f t="shared" si="6"/>
        <v>13100</v>
      </c>
      <c r="N37" s="10">
        <v>680</v>
      </c>
      <c r="O37" s="10">
        <v>3500</v>
      </c>
      <c r="P37" s="10">
        <f>8611+9+300</f>
        <v>8920</v>
      </c>
      <c r="Q37" s="10">
        <v>0</v>
      </c>
      <c r="R37" s="530"/>
      <c r="S37" s="530"/>
      <c r="T37" s="531"/>
      <c r="U37" s="541"/>
      <c r="V37" s="531"/>
      <c r="W37" s="531"/>
      <c r="X37" s="541"/>
      <c r="Y37" s="531"/>
      <c r="Z37" s="536"/>
    </row>
    <row r="38" spans="1:26" ht="15.75">
      <c r="A38" s="540">
        <v>25</v>
      </c>
      <c r="B38" s="1066" t="s">
        <v>377</v>
      </c>
      <c r="C38" s="1066"/>
      <c r="D38" s="416">
        <f t="shared" si="1"/>
        <v>601</v>
      </c>
      <c r="E38" s="416">
        <f t="shared" si="2"/>
        <v>601</v>
      </c>
      <c r="F38" s="416">
        <v>200</v>
      </c>
      <c r="G38" s="10">
        <v>401</v>
      </c>
      <c r="H38" s="529">
        <f t="shared" si="3"/>
        <v>0</v>
      </c>
      <c r="I38" s="529">
        <f t="shared" si="9"/>
        <v>0</v>
      </c>
      <c r="J38" s="10">
        <v>0</v>
      </c>
      <c r="K38" s="529">
        <f t="shared" si="4"/>
        <v>1318.5</v>
      </c>
      <c r="L38" s="529">
        <f>(M38/4)*2</f>
        <v>439.5</v>
      </c>
      <c r="M38" s="529">
        <f t="shared" si="6"/>
        <v>879</v>
      </c>
      <c r="N38" s="10">
        <v>146</v>
      </c>
      <c r="O38" s="10">
        <v>46</v>
      </c>
      <c r="P38" s="10">
        <f>224+26+437</f>
        <v>687</v>
      </c>
      <c r="Q38" s="10">
        <v>0</v>
      </c>
      <c r="R38" s="530"/>
      <c r="S38" s="530"/>
      <c r="T38" s="531"/>
      <c r="U38" s="531"/>
      <c r="V38" s="531"/>
      <c r="W38" s="531"/>
      <c r="X38" s="531"/>
      <c r="Y38" s="531"/>
      <c r="Z38" s="536"/>
    </row>
    <row r="39" spans="1:26" ht="15.75">
      <c r="A39" s="540">
        <v>26</v>
      </c>
      <c r="B39" s="1066" t="s">
        <v>378</v>
      </c>
      <c r="C39" s="1066"/>
      <c r="D39" s="416">
        <f t="shared" si="1"/>
        <v>3036</v>
      </c>
      <c r="E39" s="416">
        <f t="shared" si="2"/>
        <v>3036</v>
      </c>
      <c r="F39" s="537">
        <f>(G39/4)*2</f>
        <v>1012</v>
      </c>
      <c r="G39" s="10">
        <v>2024</v>
      </c>
      <c r="H39" s="529">
        <f t="shared" si="3"/>
        <v>0</v>
      </c>
      <c r="I39" s="529">
        <f t="shared" si="9"/>
        <v>0</v>
      </c>
      <c r="J39" s="10">
        <v>0</v>
      </c>
      <c r="K39" s="529">
        <f t="shared" si="4"/>
        <v>7038</v>
      </c>
      <c r="L39" s="533">
        <v>1358</v>
      </c>
      <c r="M39" s="529">
        <f t="shared" si="6"/>
        <v>5680</v>
      </c>
      <c r="N39" s="10">
        <v>946</v>
      </c>
      <c r="O39" s="10">
        <v>1293</v>
      </c>
      <c r="P39" s="10">
        <f>2086+150+1205</f>
        <v>3441</v>
      </c>
      <c r="Q39" s="10">
        <v>0</v>
      </c>
      <c r="R39" s="530"/>
      <c r="S39" s="530"/>
      <c r="T39" s="531"/>
      <c r="U39" s="531"/>
      <c r="V39" s="531"/>
      <c r="W39" s="531"/>
      <c r="X39" s="531"/>
      <c r="Y39" s="531"/>
      <c r="Z39" s="536"/>
    </row>
    <row r="40" spans="1:26" ht="15.75">
      <c r="A40" s="540">
        <v>27</v>
      </c>
      <c r="B40" s="1066" t="s">
        <v>379</v>
      </c>
      <c r="C40" s="1066"/>
      <c r="D40" s="416">
        <f t="shared" si="1"/>
        <v>1419</v>
      </c>
      <c r="E40" s="416">
        <f t="shared" si="2"/>
        <v>1419</v>
      </c>
      <c r="F40" s="416">
        <f>(G40/4)*2</f>
        <v>473</v>
      </c>
      <c r="G40" s="10">
        <v>946</v>
      </c>
      <c r="H40" s="529">
        <f t="shared" si="3"/>
        <v>0</v>
      </c>
      <c r="I40" s="529">
        <f t="shared" si="9"/>
        <v>0</v>
      </c>
      <c r="J40" s="10">
        <v>0</v>
      </c>
      <c r="K40" s="529">
        <f t="shared" si="4"/>
        <v>5559</v>
      </c>
      <c r="L40" s="529">
        <f>(M40/4)*2</f>
        <v>1853</v>
      </c>
      <c r="M40" s="529">
        <f t="shared" si="6"/>
        <v>3706</v>
      </c>
      <c r="N40" s="10">
        <v>312</v>
      </c>
      <c r="O40" s="10">
        <v>767</v>
      </c>
      <c r="P40" s="10">
        <f>2283+136+208</f>
        <v>2627</v>
      </c>
      <c r="Q40" s="10">
        <v>0</v>
      </c>
      <c r="R40" s="530"/>
      <c r="S40" s="530"/>
      <c r="T40" s="531"/>
      <c r="U40" s="531"/>
      <c r="V40" s="531"/>
      <c r="W40" s="531"/>
      <c r="X40" s="531"/>
      <c r="Y40" s="531"/>
      <c r="Z40" s="536"/>
    </row>
    <row r="41" spans="1:26" ht="15.75">
      <c r="A41" s="540">
        <v>28</v>
      </c>
      <c r="B41" s="1066" t="s">
        <v>380</v>
      </c>
      <c r="C41" s="1066"/>
      <c r="D41" s="416">
        <f t="shared" si="1"/>
        <v>31</v>
      </c>
      <c r="E41" s="416">
        <f t="shared" si="2"/>
        <v>31</v>
      </c>
      <c r="F41" s="539">
        <v>0</v>
      </c>
      <c r="G41" s="10">
        <v>31</v>
      </c>
      <c r="H41" s="529">
        <f t="shared" si="3"/>
        <v>0</v>
      </c>
      <c r="I41" s="529">
        <f t="shared" si="9"/>
        <v>0</v>
      </c>
      <c r="J41" s="10">
        <v>0</v>
      </c>
      <c r="K41" s="529">
        <f t="shared" si="4"/>
        <v>1273.5</v>
      </c>
      <c r="L41" s="529">
        <f>(M41/4)*2</f>
        <v>424.5</v>
      </c>
      <c r="M41" s="529">
        <f t="shared" si="6"/>
        <v>849</v>
      </c>
      <c r="N41" s="10">
        <v>167</v>
      </c>
      <c r="O41" s="10">
        <v>72</v>
      </c>
      <c r="P41" s="10">
        <f>463+22+125</f>
        <v>610</v>
      </c>
      <c r="Q41" s="10">
        <v>0</v>
      </c>
      <c r="R41" s="530"/>
      <c r="S41" s="530"/>
      <c r="T41" s="531"/>
      <c r="U41" s="531"/>
      <c r="V41" s="531"/>
      <c r="W41" s="531"/>
      <c r="X41" s="531"/>
      <c r="Y41" s="531"/>
      <c r="Z41" s="536"/>
    </row>
    <row r="42" spans="1:26" ht="15.75">
      <c r="A42" s="540">
        <v>29</v>
      </c>
      <c r="B42" s="1066" t="s">
        <v>381</v>
      </c>
      <c r="C42" s="1066"/>
      <c r="D42" s="416">
        <f t="shared" si="1"/>
        <v>655.5</v>
      </c>
      <c r="E42" s="416">
        <f t="shared" si="2"/>
        <v>655.5</v>
      </c>
      <c r="F42" s="416">
        <f>(G42/4)*2</f>
        <v>218.5</v>
      </c>
      <c r="G42" s="10">
        <v>437</v>
      </c>
      <c r="H42" s="529">
        <f t="shared" si="3"/>
        <v>0</v>
      </c>
      <c r="I42" s="529">
        <f t="shared" si="9"/>
        <v>0</v>
      </c>
      <c r="J42" s="10">
        <v>0</v>
      </c>
      <c r="K42" s="529">
        <f t="shared" si="4"/>
        <v>1309.5</v>
      </c>
      <c r="L42" s="529">
        <f>(M42/4)*2</f>
        <v>436.5</v>
      </c>
      <c r="M42" s="529">
        <f t="shared" si="6"/>
        <v>873</v>
      </c>
      <c r="N42" s="10">
        <v>59</v>
      </c>
      <c r="O42" s="10">
        <v>188</v>
      </c>
      <c r="P42" s="10">
        <f>525+101</f>
        <v>626</v>
      </c>
      <c r="Q42" s="10">
        <v>0</v>
      </c>
      <c r="R42" s="530"/>
      <c r="S42" s="530"/>
      <c r="T42" s="531"/>
      <c r="U42" s="531"/>
      <c r="V42" s="531"/>
      <c r="W42" s="531"/>
      <c r="X42" s="531"/>
      <c r="Y42" s="531"/>
      <c r="Z42" s="536"/>
    </row>
    <row r="43" spans="1:26" ht="15.75">
      <c r="A43" s="540">
        <v>30</v>
      </c>
      <c r="B43" s="1066" t="s">
        <v>382</v>
      </c>
      <c r="C43" s="1066"/>
      <c r="D43" s="416">
        <f t="shared" si="1"/>
        <v>438</v>
      </c>
      <c r="E43" s="416">
        <f t="shared" si="2"/>
        <v>438</v>
      </c>
      <c r="F43" s="539">
        <v>150</v>
      </c>
      <c r="G43" s="10">
        <v>288</v>
      </c>
      <c r="H43" s="529">
        <f t="shared" si="3"/>
        <v>0</v>
      </c>
      <c r="I43" s="529">
        <f t="shared" si="9"/>
        <v>0</v>
      </c>
      <c r="J43" s="10">
        <v>0</v>
      </c>
      <c r="K43" s="529">
        <f t="shared" si="4"/>
        <v>2092</v>
      </c>
      <c r="L43" s="533">
        <v>700</v>
      </c>
      <c r="M43" s="529">
        <f t="shared" si="6"/>
        <v>1392</v>
      </c>
      <c r="N43" s="9">
        <v>273</v>
      </c>
      <c r="O43" s="9">
        <v>182</v>
      </c>
      <c r="P43" s="9">
        <f>844+25+68</f>
        <v>937</v>
      </c>
      <c r="Q43" s="10">
        <v>0</v>
      </c>
      <c r="R43" s="530"/>
      <c r="S43" s="530"/>
      <c r="T43" s="531"/>
      <c r="U43" s="531"/>
      <c r="V43" s="531"/>
      <c r="W43" s="531"/>
      <c r="X43" s="531"/>
      <c r="Y43" s="531"/>
      <c r="Z43" s="536"/>
    </row>
    <row r="44" spans="1:26" ht="15.75">
      <c r="A44" s="540">
        <v>31</v>
      </c>
      <c r="B44" s="1066" t="s">
        <v>383</v>
      </c>
      <c r="C44" s="1066"/>
      <c r="D44" s="416">
        <f t="shared" si="1"/>
        <v>811.5</v>
      </c>
      <c r="E44" s="416">
        <f t="shared" si="2"/>
        <v>811.5</v>
      </c>
      <c r="F44" s="416">
        <f aca="true" t="shared" si="10" ref="F44:F50">(G44/4)*2</f>
        <v>270.5</v>
      </c>
      <c r="G44" s="10">
        <v>541</v>
      </c>
      <c r="H44" s="529">
        <f t="shared" si="3"/>
        <v>0</v>
      </c>
      <c r="I44" s="529">
        <f t="shared" si="9"/>
        <v>0</v>
      </c>
      <c r="J44" s="10">
        <v>0</v>
      </c>
      <c r="K44" s="529">
        <f t="shared" si="4"/>
        <v>2611.5</v>
      </c>
      <c r="L44" s="529">
        <f>(M44/4)*2</f>
        <v>870.5</v>
      </c>
      <c r="M44" s="529">
        <f t="shared" si="6"/>
        <v>1741</v>
      </c>
      <c r="N44" s="10">
        <v>197</v>
      </c>
      <c r="O44" s="10">
        <v>355</v>
      </c>
      <c r="P44" s="10">
        <f>1121+5+63</f>
        <v>1189</v>
      </c>
      <c r="Q44" s="10">
        <v>0</v>
      </c>
      <c r="R44" s="530"/>
      <c r="S44" s="530"/>
      <c r="T44" s="531"/>
      <c r="U44" s="531"/>
      <c r="V44" s="531"/>
      <c r="W44" s="531"/>
      <c r="X44" s="531"/>
      <c r="Y44" s="531"/>
      <c r="Z44" s="536"/>
    </row>
    <row r="45" spans="1:26" ht="15.75">
      <c r="A45" s="540">
        <v>32</v>
      </c>
      <c r="B45" s="1066" t="s">
        <v>384</v>
      </c>
      <c r="C45" s="1066"/>
      <c r="D45" s="419">
        <f t="shared" si="1"/>
        <v>1219.5</v>
      </c>
      <c r="E45" s="416">
        <f t="shared" si="2"/>
        <v>1219.5</v>
      </c>
      <c r="F45" s="416">
        <f t="shared" si="10"/>
        <v>406.5</v>
      </c>
      <c r="G45" s="10">
        <v>813</v>
      </c>
      <c r="H45" s="529">
        <f t="shared" si="3"/>
        <v>0</v>
      </c>
      <c r="I45" s="529">
        <f t="shared" si="9"/>
        <v>0</v>
      </c>
      <c r="J45" s="10">
        <v>0</v>
      </c>
      <c r="K45" s="529">
        <f t="shared" si="4"/>
        <v>9738</v>
      </c>
      <c r="L45" s="529">
        <f>(M45/4)*2</f>
        <v>3246</v>
      </c>
      <c r="M45" s="529">
        <f t="shared" si="6"/>
        <v>6492</v>
      </c>
      <c r="N45" s="10">
        <v>291</v>
      </c>
      <c r="O45" s="10">
        <v>27</v>
      </c>
      <c r="P45" s="10">
        <f>6128+7+11+28</f>
        <v>6174</v>
      </c>
      <c r="Q45" s="10">
        <v>0</v>
      </c>
      <c r="R45" s="530"/>
      <c r="S45" s="530"/>
      <c r="T45" s="531"/>
      <c r="U45" s="531"/>
      <c r="V45" s="531"/>
      <c r="W45" s="531"/>
      <c r="X45" s="531"/>
      <c r="Y45" s="531"/>
      <c r="Z45" s="536"/>
    </row>
    <row r="46" spans="1:26" ht="15.75">
      <c r="A46" s="540">
        <v>33</v>
      </c>
      <c r="B46" s="1066" t="s">
        <v>385</v>
      </c>
      <c r="C46" s="1066"/>
      <c r="D46" s="416">
        <f aca="true" t="shared" si="11" ref="D46:D76">E46+H46</f>
        <v>321</v>
      </c>
      <c r="E46" s="416">
        <f aca="true" t="shared" si="12" ref="E46:E76">F46+G46</f>
        <v>321</v>
      </c>
      <c r="F46" s="416">
        <f t="shared" si="10"/>
        <v>107</v>
      </c>
      <c r="G46" s="10">
        <v>214</v>
      </c>
      <c r="H46" s="529">
        <f aca="true" t="shared" si="13" ref="H46:H76">I46+J46</f>
        <v>0</v>
      </c>
      <c r="I46" s="529">
        <f t="shared" si="9"/>
        <v>0</v>
      </c>
      <c r="J46" s="10">
        <v>0</v>
      </c>
      <c r="K46" s="529">
        <f aca="true" t="shared" si="14" ref="K46:K76">L46+M46</f>
        <v>1767</v>
      </c>
      <c r="L46" s="529">
        <f>(M46/4)*2</f>
        <v>589</v>
      </c>
      <c r="M46" s="529">
        <f aca="true" t="shared" si="15" ref="M46:M76">SUM(N46:Q46)</f>
        <v>1178</v>
      </c>
      <c r="N46" s="10">
        <v>87</v>
      </c>
      <c r="O46" s="10">
        <v>208</v>
      </c>
      <c r="P46" s="10">
        <f>769+15+99</f>
        <v>883</v>
      </c>
      <c r="Q46" s="10">
        <v>0</v>
      </c>
      <c r="R46" s="542"/>
      <c r="S46" s="542"/>
      <c r="T46" s="541"/>
      <c r="U46" s="541"/>
      <c r="V46" s="541"/>
      <c r="W46" s="541"/>
      <c r="X46" s="541"/>
      <c r="Y46" s="541"/>
      <c r="Z46" s="536"/>
    </row>
    <row r="47" spans="1:26" ht="15.75">
      <c r="A47" s="540">
        <v>34</v>
      </c>
      <c r="B47" s="1066" t="s">
        <v>386</v>
      </c>
      <c r="C47" s="1066"/>
      <c r="D47" s="416">
        <f t="shared" si="11"/>
        <v>129</v>
      </c>
      <c r="E47" s="416">
        <f t="shared" si="12"/>
        <v>129</v>
      </c>
      <c r="F47" s="416">
        <f t="shared" si="10"/>
        <v>43</v>
      </c>
      <c r="G47" s="10">
        <v>86</v>
      </c>
      <c r="H47" s="529">
        <f t="shared" si="13"/>
        <v>0</v>
      </c>
      <c r="I47" s="529">
        <f t="shared" si="9"/>
        <v>0</v>
      </c>
      <c r="J47" s="10">
        <v>0</v>
      </c>
      <c r="K47" s="529">
        <f t="shared" si="14"/>
        <v>1627.5</v>
      </c>
      <c r="L47" s="529">
        <v>542.5</v>
      </c>
      <c r="M47" s="529">
        <f t="shared" si="15"/>
        <v>1085</v>
      </c>
      <c r="N47" s="10">
        <v>0</v>
      </c>
      <c r="O47" s="10">
        <v>359</v>
      </c>
      <c r="P47" s="10">
        <f>171+3+552</f>
        <v>726</v>
      </c>
      <c r="Q47" s="10">
        <v>0</v>
      </c>
      <c r="R47" s="530"/>
      <c r="S47" s="530"/>
      <c r="T47" s="531"/>
      <c r="U47" s="531"/>
      <c r="V47" s="531"/>
      <c r="W47" s="531"/>
      <c r="X47" s="531"/>
      <c r="Y47" s="531"/>
      <c r="Z47" s="536"/>
    </row>
    <row r="48" spans="1:26" ht="15.75">
      <c r="A48" s="540">
        <v>35</v>
      </c>
      <c r="B48" s="1066" t="s">
        <v>387</v>
      </c>
      <c r="C48" s="1066"/>
      <c r="D48" s="416">
        <f t="shared" si="11"/>
        <v>196.5</v>
      </c>
      <c r="E48" s="416">
        <f t="shared" si="12"/>
        <v>196.5</v>
      </c>
      <c r="F48" s="416">
        <f t="shared" si="10"/>
        <v>65.5</v>
      </c>
      <c r="G48" s="10">
        <v>131</v>
      </c>
      <c r="H48" s="529">
        <f t="shared" si="13"/>
        <v>0</v>
      </c>
      <c r="I48" s="529">
        <f t="shared" si="9"/>
        <v>0</v>
      </c>
      <c r="J48" s="10">
        <v>0</v>
      </c>
      <c r="K48" s="529">
        <f t="shared" si="14"/>
        <v>2830</v>
      </c>
      <c r="L48" s="529">
        <v>943</v>
      </c>
      <c r="M48" s="529">
        <f t="shared" si="15"/>
        <v>1887</v>
      </c>
      <c r="N48" s="10">
        <v>976</v>
      </c>
      <c r="O48" s="10">
        <v>14</v>
      </c>
      <c r="P48" s="10">
        <f>874+1+22</f>
        <v>897</v>
      </c>
      <c r="Q48" s="10">
        <v>0</v>
      </c>
      <c r="R48" s="530"/>
      <c r="S48" s="530"/>
      <c r="T48" s="531"/>
      <c r="U48" s="531"/>
      <c r="V48" s="531"/>
      <c r="W48" s="531"/>
      <c r="X48" s="531"/>
      <c r="Y48" s="531"/>
      <c r="Z48" s="536"/>
    </row>
    <row r="49" spans="1:26" ht="15.75">
      <c r="A49" s="540">
        <v>36</v>
      </c>
      <c r="B49" s="543" t="s">
        <v>388</v>
      </c>
      <c r="C49" s="543"/>
      <c r="D49" s="416">
        <f t="shared" si="11"/>
        <v>988.5</v>
      </c>
      <c r="E49" s="416">
        <f t="shared" si="12"/>
        <v>988.5</v>
      </c>
      <c r="F49" s="416">
        <f t="shared" si="10"/>
        <v>329.5</v>
      </c>
      <c r="G49" s="10">
        <v>659</v>
      </c>
      <c r="H49" s="529">
        <f t="shared" si="13"/>
        <v>0</v>
      </c>
      <c r="I49" s="529">
        <f t="shared" si="9"/>
        <v>0</v>
      </c>
      <c r="J49" s="10">
        <v>0</v>
      </c>
      <c r="K49" s="529">
        <f t="shared" si="14"/>
        <v>4807.5</v>
      </c>
      <c r="L49" s="529">
        <f>(M49/4)*2</f>
        <v>1602.5</v>
      </c>
      <c r="M49" s="529">
        <f t="shared" si="15"/>
        <v>3205</v>
      </c>
      <c r="N49" s="10">
        <v>201</v>
      </c>
      <c r="O49" s="10">
        <v>1445</v>
      </c>
      <c r="P49" s="10">
        <f>1524+2+33</f>
        <v>1559</v>
      </c>
      <c r="Q49" s="10">
        <v>0</v>
      </c>
      <c r="R49" s="530"/>
      <c r="S49" s="530"/>
      <c r="T49" s="531"/>
      <c r="U49" s="531"/>
      <c r="V49" s="531"/>
      <c r="W49" s="531"/>
      <c r="X49" s="531"/>
      <c r="Y49" s="531"/>
      <c r="Z49" s="536"/>
    </row>
    <row r="50" spans="1:26" ht="15.75">
      <c r="A50" s="540">
        <v>37</v>
      </c>
      <c r="B50" s="1068" t="s">
        <v>389</v>
      </c>
      <c r="C50" s="1068"/>
      <c r="D50" s="416">
        <f t="shared" si="11"/>
        <v>201</v>
      </c>
      <c r="E50" s="416">
        <f t="shared" si="12"/>
        <v>201</v>
      </c>
      <c r="F50" s="416">
        <f t="shared" si="10"/>
        <v>67</v>
      </c>
      <c r="G50" s="10">
        <v>134</v>
      </c>
      <c r="H50" s="529">
        <f t="shared" si="13"/>
        <v>0</v>
      </c>
      <c r="I50" s="529">
        <f t="shared" si="9"/>
        <v>0</v>
      </c>
      <c r="J50" s="10">
        <v>0</v>
      </c>
      <c r="K50" s="529">
        <f t="shared" si="14"/>
        <v>1030.5</v>
      </c>
      <c r="L50" s="529">
        <f>(M50/4)*2</f>
        <v>343.5</v>
      </c>
      <c r="M50" s="529">
        <f t="shared" si="15"/>
        <v>687</v>
      </c>
      <c r="N50" s="10">
        <v>226</v>
      </c>
      <c r="O50" s="10">
        <v>78</v>
      </c>
      <c r="P50" s="10">
        <f>345+38</f>
        <v>383</v>
      </c>
      <c r="Q50" s="10">
        <v>0</v>
      </c>
      <c r="R50" s="530"/>
      <c r="S50" s="530"/>
      <c r="T50" s="531"/>
      <c r="U50" s="531"/>
      <c r="V50" s="531"/>
      <c r="W50" s="531"/>
      <c r="X50" s="531"/>
      <c r="Y50" s="531"/>
      <c r="Z50" s="536"/>
    </row>
    <row r="51" spans="1:26" ht="15.75">
      <c r="A51" s="540">
        <v>38</v>
      </c>
      <c r="B51" s="1068" t="s">
        <v>390</v>
      </c>
      <c r="C51" s="1068"/>
      <c r="D51" s="416">
        <f t="shared" si="11"/>
        <v>802</v>
      </c>
      <c r="E51" s="416">
        <f t="shared" si="12"/>
        <v>802</v>
      </c>
      <c r="F51" s="416">
        <v>267</v>
      </c>
      <c r="G51" s="10">
        <v>535</v>
      </c>
      <c r="H51" s="529">
        <f t="shared" si="13"/>
        <v>0</v>
      </c>
      <c r="I51" s="529">
        <f t="shared" si="9"/>
        <v>0</v>
      </c>
      <c r="J51" s="10">
        <v>0</v>
      </c>
      <c r="K51" s="529">
        <f t="shared" si="14"/>
        <v>2764.5</v>
      </c>
      <c r="L51" s="529">
        <f>(M51/4)*2</f>
        <v>921.5</v>
      </c>
      <c r="M51" s="529">
        <f t="shared" si="15"/>
        <v>1843</v>
      </c>
      <c r="N51" s="10">
        <v>164</v>
      </c>
      <c r="O51" s="10">
        <v>280</v>
      </c>
      <c r="P51" s="10">
        <f>1116+35+248</f>
        <v>1399</v>
      </c>
      <c r="Q51" s="10">
        <v>0</v>
      </c>
      <c r="R51" s="530"/>
      <c r="S51" s="530"/>
      <c r="T51" s="531"/>
      <c r="U51" s="531"/>
      <c r="V51" s="531"/>
      <c r="W51" s="531"/>
      <c r="X51" s="531"/>
      <c r="Y51" s="531"/>
      <c r="Z51" s="536"/>
    </row>
    <row r="52" spans="1:26" ht="15.75">
      <c r="A52" s="540">
        <v>39</v>
      </c>
      <c r="B52" s="543" t="s">
        <v>391</v>
      </c>
      <c r="C52" s="543"/>
      <c r="D52" s="416">
        <f t="shared" si="11"/>
        <v>2187</v>
      </c>
      <c r="E52" s="416">
        <f t="shared" si="12"/>
        <v>2187</v>
      </c>
      <c r="F52" s="416">
        <f>(G52/4)*2</f>
        <v>729</v>
      </c>
      <c r="G52" s="10">
        <v>1458</v>
      </c>
      <c r="H52" s="529">
        <f t="shared" si="13"/>
        <v>0</v>
      </c>
      <c r="I52" s="529">
        <f t="shared" si="9"/>
        <v>0</v>
      </c>
      <c r="J52" s="10">
        <v>0</v>
      </c>
      <c r="K52" s="529">
        <f t="shared" si="14"/>
        <v>2503</v>
      </c>
      <c r="L52" s="529">
        <v>834</v>
      </c>
      <c r="M52" s="529">
        <f t="shared" si="15"/>
        <v>1669</v>
      </c>
      <c r="N52" s="10">
        <v>362</v>
      </c>
      <c r="O52" s="10">
        <v>405</v>
      </c>
      <c r="P52" s="10">
        <f>677+225</f>
        <v>902</v>
      </c>
      <c r="Q52" s="10">
        <v>0</v>
      </c>
      <c r="R52" s="530"/>
      <c r="S52" s="530"/>
      <c r="T52" s="531"/>
      <c r="U52" s="531"/>
      <c r="V52" s="531"/>
      <c r="W52" s="531"/>
      <c r="X52" s="531"/>
      <c r="Y52" s="531"/>
      <c r="Z52" s="536"/>
    </row>
    <row r="53" spans="1:26" ht="15.75">
      <c r="A53" s="540">
        <v>40</v>
      </c>
      <c r="B53" s="543" t="s">
        <v>392</v>
      </c>
      <c r="C53" s="543"/>
      <c r="D53" s="416">
        <f t="shared" si="11"/>
        <v>289.5</v>
      </c>
      <c r="E53" s="416">
        <f t="shared" si="12"/>
        <v>289.5</v>
      </c>
      <c r="F53" s="416">
        <f>(G53/4)*2</f>
        <v>96.5</v>
      </c>
      <c r="G53" s="10">
        <v>193</v>
      </c>
      <c r="H53" s="529">
        <f t="shared" si="13"/>
        <v>0</v>
      </c>
      <c r="I53" s="529">
        <f t="shared" si="9"/>
        <v>0</v>
      </c>
      <c r="J53" s="10"/>
      <c r="K53" s="529">
        <f t="shared" si="14"/>
        <v>2437.5</v>
      </c>
      <c r="L53" s="529">
        <f>(M53/4)*2</f>
        <v>812.5</v>
      </c>
      <c r="M53" s="529">
        <f t="shared" si="15"/>
        <v>1625</v>
      </c>
      <c r="N53" s="10">
        <v>392</v>
      </c>
      <c r="O53" s="10">
        <v>345</v>
      </c>
      <c r="P53" s="10">
        <f>450+78+120+240</f>
        <v>888</v>
      </c>
      <c r="Q53" s="10">
        <v>0</v>
      </c>
      <c r="R53" s="530"/>
      <c r="S53" s="530"/>
      <c r="T53" s="531"/>
      <c r="U53" s="531"/>
      <c r="V53" s="531"/>
      <c r="W53" s="531"/>
      <c r="X53" s="531"/>
      <c r="Y53" s="531"/>
      <c r="Z53" s="536"/>
    </row>
    <row r="54" spans="1:26" ht="15.75">
      <c r="A54" s="540">
        <v>41</v>
      </c>
      <c r="B54" s="543" t="s">
        <v>393</v>
      </c>
      <c r="C54" s="543"/>
      <c r="D54" s="416">
        <f t="shared" si="11"/>
        <v>465</v>
      </c>
      <c r="E54" s="416">
        <f t="shared" si="12"/>
        <v>465</v>
      </c>
      <c r="F54" s="539">
        <v>150</v>
      </c>
      <c r="G54" s="10">
        <v>315</v>
      </c>
      <c r="H54" s="529">
        <f t="shared" si="13"/>
        <v>0</v>
      </c>
      <c r="I54" s="529">
        <f t="shared" si="9"/>
        <v>0</v>
      </c>
      <c r="J54" s="10">
        <v>0</v>
      </c>
      <c r="K54" s="529">
        <f t="shared" si="14"/>
        <v>1287</v>
      </c>
      <c r="L54" s="533">
        <v>400</v>
      </c>
      <c r="M54" s="529">
        <f t="shared" si="15"/>
        <v>887</v>
      </c>
      <c r="N54" s="10">
        <v>117</v>
      </c>
      <c r="O54" s="10">
        <v>174</v>
      </c>
      <c r="P54" s="10">
        <f>592+4</f>
        <v>596</v>
      </c>
      <c r="Q54" s="10">
        <v>0</v>
      </c>
      <c r="R54" s="530"/>
      <c r="S54" s="530"/>
      <c r="T54" s="531"/>
      <c r="U54" s="531"/>
      <c r="V54" s="531"/>
      <c r="W54" s="531"/>
      <c r="X54" s="531"/>
      <c r="Y54" s="531"/>
      <c r="Z54" s="536"/>
    </row>
    <row r="55" spans="1:26" ht="15.75">
      <c r="A55" s="540">
        <v>42</v>
      </c>
      <c r="B55" s="543" t="s">
        <v>394</v>
      </c>
      <c r="C55" s="543"/>
      <c r="D55" s="416">
        <f t="shared" si="11"/>
        <v>14</v>
      </c>
      <c r="E55" s="416">
        <f t="shared" si="12"/>
        <v>14</v>
      </c>
      <c r="F55" s="539">
        <v>3</v>
      </c>
      <c r="G55" s="10">
        <v>11</v>
      </c>
      <c r="H55" s="529">
        <f t="shared" si="13"/>
        <v>0</v>
      </c>
      <c r="I55" s="529">
        <f t="shared" si="9"/>
        <v>0</v>
      </c>
      <c r="J55" s="10">
        <v>0</v>
      </c>
      <c r="K55" s="529">
        <f t="shared" si="14"/>
        <v>655</v>
      </c>
      <c r="L55" s="533">
        <v>109</v>
      </c>
      <c r="M55" s="529">
        <f t="shared" si="15"/>
        <v>546</v>
      </c>
      <c r="N55" s="10">
        <v>0</v>
      </c>
      <c r="O55" s="10">
        <v>117</v>
      </c>
      <c r="P55" s="10">
        <f>364+65</f>
        <v>429</v>
      </c>
      <c r="Q55" s="10">
        <v>0</v>
      </c>
      <c r="R55" s="530"/>
      <c r="S55" s="530"/>
      <c r="T55" s="531"/>
      <c r="U55" s="531"/>
      <c r="V55" s="531"/>
      <c r="W55" s="531"/>
      <c r="X55" s="531"/>
      <c r="Y55" s="531"/>
      <c r="Z55" s="536"/>
    </row>
    <row r="56" spans="1:26" ht="15.75">
      <c r="A56" s="540">
        <v>43</v>
      </c>
      <c r="B56" s="1068" t="s">
        <v>395</v>
      </c>
      <c r="C56" s="1068"/>
      <c r="D56" s="416">
        <f t="shared" si="11"/>
        <v>325.5</v>
      </c>
      <c r="E56" s="416">
        <f t="shared" si="12"/>
        <v>325.5</v>
      </c>
      <c r="F56" s="416">
        <f>(G56/4)*2</f>
        <v>108.5</v>
      </c>
      <c r="G56" s="10">
        <v>217</v>
      </c>
      <c r="H56" s="529">
        <f t="shared" si="13"/>
        <v>0</v>
      </c>
      <c r="I56" s="529">
        <f t="shared" si="9"/>
        <v>0</v>
      </c>
      <c r="J56" s="10">
        <v>0</v>
      </c>
      <c r="K56" s="529">
        <f t="shared" si="14"/>
        <v>3736</v>
      </c>
      <c r="L56" s="529">
        <v>1245</v>
      </c>
      <c r="M56" s="529">
        <f t="shared" si="15"/>
        <v>2491</v>
      </c>
      <c r="N56" s="10">
        <v>0</v>
      </c>
      <c r="O56" s="10">
        <v>214</v>
      </c>
      <c r="P56" s="10">
        <f>1886+324+67</f>
        <v>2277</v>
      </c>
      <c r="Q56" s="10">
        <v>0</v>
      </c>
      <c r="R56" s="530"/>
      <c r="S56" s="530"/>
      <c r="T56" s="531"/>
      <c r="U56" s="531"/>
      <c r="V56" s="531"/>
      <c r="W56" s="531"/>
      <c r="X56" s="531"/>
      <c r="Y56" s="531"/>
      <c r="Z56" s="536"/>
    </row>
    <row r="57" spans="1:26" ht="15.75">
      <c r="A57" s="540">
        <v>44</v>
      </c>
      <c r="B57" s="1068" t="s">
        <v>396</v>
      </c>
      <c r="C57" s="1068"/>
      <c r="D57" s="416">
        <f t="shared" si="11"/>
        <v>876</v>
      </c>
      <c r="E57" s="416">
        <f t="shared" si="12"/>
        <v>876</v>
      </c>
      <c r="F57" s="416">
        <f>(G57/4)*2</f>
        <v>292</v>
      </c>
      <c r="G57" s="10">
        <v>584</v>
      </c>
      <c r="H57" s="529">
        <f t="shared" si="13"/>
        <v>0</v>
      </c>
      <c r="I57" s="529">
        <f t="shared" si="9"/>
        <v>0</v>
      </c>
      <c r="J57" s="10">
        <v>0</v>
      </c>
      <c r="K57" s="529">
        <f t="shared" si="14"/>
        <v>2521</v>
      </c>
      <c r="L57" s="529">
        <v>840</v>
      </c>
      <c r="M57" s="529">
        <f t="shared" si="15"/>
        <v>1681</v>
      </c>
      <c r="N57" s="10">
        <v>405</v>
      </c>
      <c r="O57" s="10">
        <v>59</v>
      </c>
      <c r="P57" s="10">
        <f>1119+15+83</f>
        <v>1217</v>
      </c>
      <c r="Q57" s="10">
        <v>0</v>
      </c>
      <c r="R57" s="530"/>
      <c r="S57" s="530"/>
      <c r="T57" s="531"/>
      <c r="U57" s="531"/>
      <c r="V57" s="531"/>
      <c r="W57" s="531"/>
      <c r="X57" s="531"/>
      <c r="Y57" s="531"/>
      <c r="Z57" s="536"/>
    </row>
    <row r="58" spans="1:26" ht="15.75">
      <c r="A58" s="544">
        <v>45</v>
      </c>
      <c r="B58" s="545" t="s">
        <v>397</v>
      </c>
      <c r="C58" s="545"/>
      <c r="D58" s="416">
        <f t="shared" si="11"/>
        <v>361</v>
      </c>
      <c r="E58" s="416">
        <f t="shared" si="12"/>
        <v>361</v>
      </c>
      <c r="F58" s="416">
        <v>120</v>
      </c>
      <c r="G58" s="10">
        <v>241</v>
      </c>
      <c r="H58" s="529">
        <f t="shared" si="13"/>
        <v>0</v>
      </c>
      <c r="I58" s="529">
        <f t="shared" si="9"/>
        <v>0</v>
      </c>
      <c r="J58" s="10">
        <v>0</v>
      </c>
      <c r="K58" s="529">
        <f t="shared" si="14"/>
        <v>2787</v>
      </c>
      <c r="L58" s="529">
        <f>(M58/4)*2</f>
        <v>929</v>
      </c>
      <c r="M58" s="529">
        <f t="shared" si="15"/>
        <v>1858</v>
      </c>
      <c r="N58" s="10">
        <v>295</v>
      </c>
      <c r="O58" s="10">
        <v>202</v>
      </c>
      <c r="P58" s="10">
        <f>903+458</f>
        <v>1361</v>
      </c>
      <c r="Q58" s="10">
        <v>0</v>
      </c>
      <c r="R58" s="530"/>
      <c r="S58" s="530"/>
      <c r="T58" s="531"/>
      <c r="U58" s="531"/>
      <c r="V58" s="531"/>
      <c r="W58" s="531"/>
      <c r="X58" s="531"/>
      <c r="Y58" s="531"/>
      <c r="Z58" s="536"/>
    </row>
    <row r="59" spans="1:26" ht="15.75">
      <c r="A59" s="540">
        <v>46</v>
      </c>
      <c r="B59" s="546" t="s">
        <v>398</v>
      </c>
      <c r="C59" s="546"/>
      <c r="D59" s="416">
        <f t="shared" si="11"/>
        <v>642</v>
      </c>
      <c r="E59" s="416">
        <f t="shared" si="12"/>
        <v>642</v>
      </c>
      <c r="F59" s="416">
        <f aca="true" t="shared" si="16" ref="F59:F65">(G59/4)*2</f>
        <v>214</v>
      </c>
      <c r="G59" s="10">
        <v>428</v>
      </c>
      <c r="H59" s="529">
        <f t="shared" si="13"/>
        <v>0</v>
      </c>
      <c r="I59" s="529">
        <f t="shared" si="9"/>
        <v>0</v>
      </c>
      <c r="J59" s="10">
        <v>0</v>
      </c>
      <c r="K59" s="529">
        <f t="shared" si="14"/>
        <v>5404</v>
      </c>
      <c r="L59" s="529">
        <v>1801</v>
      </c>
      <c r="M59" s="529">
        <f t="shared" si="15"/>
        <v>3603</v>
      </c>
      <c r="N59" s="10">
        <v>311</v>
      </c>
      <c r="O59" s="10">
        <v>482</v>
      </c>
      <c r="P59" s="10">
        <f>1666+155+989</f>
        <v>2810</v>
      </c>
      <c r="Q59" s="10">
        <v>0</v>
      </c>
      <c r="R59" s="530"/>
      <c r="S59" s="530"/>
      <c r="T59" s="531"/>
      <c r="U59" s="531"/>
      <c r="V59" s="531"/>
      <c r="W59" s="531"/>
      <c r="X59" s="531"/>
      <c r="Y59" s="531"/>
      <c r="Z59" s="536"/>
    </row>
    <row r="60" spans="1:26" ht="15.75">
      <c r="A60" s="540">
        <v>47</v>
      </c>
      <c r="B60" s="546" t="s">
        <v>399</v>
      </c>
      <c r="C60" s="546"/>
      <c r="D60" s="416">
        <f t="shared" si="11"/>
        <v>771</v>
      </c>
      <c r="E60" s="416">
        <f t="shared" si="12"/>
        <v>771</v>
      </c>
      <c r="F60" s="416">
        <f t="shared" si="16"/>
        <v>257</v>
      </c>
      <c r="G60" s="10">
        <v>514</v>
      </c>
      <c r="H60" s="529">
        <f t="shared" si="13"/>
        <v>0</v>
      </c>
      <c r="I60" s="529">
        <f t="shared" si="9"/>
        <v>0</v>
      </c>
      <c r="J60" s="10">
        <v>0</v>
      </c>
      <c r="K60" s="529">
        <f t="shared" si="14"/>
        <v>2892</v>
      </c>
      <c r="L60" s="529">
        <f>(M60/4)*2</f>
        <v>964</v>
      </c>
      <c r="M60" s="529">
        <f t="shared" si="15"/>
        <v>1928</v>
      </c>
      <c r="N60" s="10">
        <v>283</v>
      </c>
      <c r="O60" s="10">
        <v>252</v>
      </c>
      <c r="P60" s="10">
        <f>1379+14</f>
        <v>1393</v>
      </c>
      <c r="Q60" s="10">
        <v>0</v>
      </c>
      <c r="R60" s="530"/>
      <c r="S60" s="530"/>
      <c r="T60" s="531"/>
      <c r="U60" s="531"/>
      <c r="V60" s="531"/>
      <c r="W60" s="531"/>
      <c r="X60" s="531"/>
      <c r="Y60" s="531"/>
      <c r="Z60" s="536"/>
    </row>
    <row r="61" spans="1:26" ht="15.75">
      <c r="A61" s="540">
        <v>48</v>
      </c>
      <c r="B61" s="546" t="s">
        <v>400</v>
      </c>
      <c r="C61" s="546"/>
      <c r="D61" s="416">
        <f t="shared" si="11"/>
        <v>1857</v>
      </c>
      <c r="E61" s="416">
        <f t="shared" si="12"/>
        <v>1818</v>
      </c>
      <c r="F61" s="416">
        <f t="shared" si="16"/>
        <v>606</v>
      </c>
      <c r="G61" s="10">
        <v>1212</v>
      </c>
      <c r="H61" s="529">
        <f t="shared" si="13"/>
        <v>39</v>
      </c>
      <c r="I61" s="529">
        <f t="shared" si="9"/>
        <v>13</v>
      </c>
      <c r="J61" s="10">
        <v>26</v>
      </c>
      <c r="K61" s="529">
        <f t="shared" si="14"/>
        <v>3670.5</v>
      </c>
      <c r="L61" s="529">
        <v>1223.5</v>
      </c>
      <c r="M61" s="529">
        <f t="shared" si="15"/>
        <v>2447</v>
      </c>
      <c r="N61" s="10">
        <v>254</v>
      </c>
      <c r="O61" s="10">
        <v>678</v>
      </c>
      <c r="P61" s="10">
        <f>1343+11+161</f>
        <v>1515</v>
      </c>
      <c r="Q61" s="10">
        <v>0</v>
      </c>
      <c r="R61" s="530"/>
      <c r="S61" s="530"/>
      <c r="T61" s="531"/>
      <c r="U61" s="531"/>
      <c r="V61" s="531"/>
      <c r="W61" s="531"/>
      <c r="X61" s="531"/>
      <c r="Y61" s="531"/>
      <c r="Z61" s="536"/>
    </row>
    <row r="62" spans="1:26" ht="15.75">
      <c r="A62" s="540">
        <v>49</v>
      </c>
      <c r="B62" s="546" t="s">
        <v>401</v>
      </c>
      <c r="C62" s="546"/>
      <c r="D62" s="416">
        <f t="shared" si="11"/>
        <v>30</v>
      </c>
      <c r="E62" s="416">
        <f t="shared" si="12"/>
        <v>30</v>
      </c>
      <c r="F62" s="416">
        <f t="shared" si="16"/>
        <v>10</v>
      </c>
      <c r="G62" s="10">
        <v>20</v>
      </c>
      <c r="H62" s="529">
        <f t="shared" si="13"/>
        <v>0</v>
      </c>
      <c r="I62" s="529">
        <f t="shared" si="9"/>
        <v>0</v>
      </c>
      <c r="J62" s="10">
        <v>0</v>
      </c>
      <c r="K62" s="529">
        <f t="shared" si="14"/>
        <v>784</v>
      </c>
      <c r="L62" s="529">
        <v>261</v>
      </c>
      <c r="M62" s="529">
        <f t="shared" si="15"/>
        <v>523</v>
      </c>
      <c r="N62" s="10">
        <v>97</v>
      </c>
      <c r="O62" s="10">
        <v>16</v>
      </c>
      <c r="P62" s="10">
        <f>265+18+127</f>
        <v>410</v>
      </c>
      <c r="Q62" s="10">
        <v>0</v>
      </c>
      <c r="R62" s="530"/>
      <c r="S62" s="530"/>
      <c r="T62" s="531"/>
      <c r="U62" s="531"/>
      <c r="V62" s="531"/>
      <c r="W62" s="531"/>
      <c r="X62" s="531"/>
      <c r="Y62" s="531"/>
      <c r="Z62" s="536"/>
    </row>
    <row r="63" spans="1:26" ht="15.75">
      <c r="A63" s="540">
        <v>50</v>
      </c>
      <c r="B63" s="546" t="s">
        <v>402</v>
      </c>
      <c r="C63" s="546"/>
      <c r="D63" s="416">
        <f t="shared" si="11"/>
        <v>376.5</v>
      </c>
      <c r="E63" s="416">
        <f t="shared" si="12"/>
        <v>376.5</v>
      </c>
      <c r="F63" s="416">
        <f t="shared" si="16"/>
        <v>125.5</v>
      </c>
      <c r="G63" s="10">
        <v>251</v>
      </c>
      <c r="H63" s="529">
        <f t="shared" si="13"/>
        <v>0</v>
      </c>
      <c r="I63" s="529">
        <f t="shared" si="9"/>
        <v>0</v>
      </c>
      <c r="J63" s="10">
        <v>0</v>
      </c>
      <c r="K63" s="529">
        <f t="shared" si="14"/>
        <v>1903.5</v>
      </c>
      <c r="L63" s="529">
        <f>(M63/4)*2</f>
        <v>634.5</v>
      </c>
      <c r="M63" s="529">
        <f t="shared" si="15"/>
        <v>1269</v>
      </c>
      <c r="N63" s="10">
        <v>149</v>
      </c>
      <c r="O63" s="10">
        <v>191</v>
      </c>
      <c r="P63" s="10">
        <f>344+2+583</f>
        <v>929</v>
      </c>
      <c r="Q63" s="10">
        <v>0</v>
      </c>
      <c r="R63" s="530"/>
      <c r="S63" s="530"/>
      <c r="T63" s="531"/>
      <c r="U63" s="531"/>
      <c r="V63" s="531"/>
      <c r="W63" s="531"/>
      <c r="X63" s="531"/>
      <c r="Y63" s="531"/>
      <c r="Z63" s="536"/>
    </row>
    <row r="64" spans="1:26" ht="15.75">
      <c r="A64" s="540">
        <v>51</v>
      </c>
      <c r="B64" s="547" t="s">
        <v>403</v>
      </c>
      <c r="C64" s="547"/>
      <c r="D64" s="416">
        <f t="shared" si="11"/>
        <v>394.5</v>
      </c>
      <c r="E64" s="416">
        <f t="shared" si="12"/>
        <v>394.5</v>
      </c>
      <c r="F64" s="416">
        <f t="shared" si="16"/>
        <v>131.5</v>
      </c>
      <c r="G64" s="10">
        <v>263</v>
      </c>
      <c r="H64" s="529">
        <f t="shared" si="13"/>
        <v>0</v>
      </c>
      <c r="I64" s="529">
        <f t="shared" si="9"/>
        <v>0</v>
      </c>
      <c r="J64" s="10">
        <v>0</v>
      </c>
      <c r="K64" s="529">
        <f t="shared" si="14"/>
        <v>1929</v>
      </c>
      <c r="L64" s="529">
        <f>(M64/4)*2</f>
        <v>643</v>
      </c>
      <c r="M64" s="529">
        <f t="shared" si="15"/>
        <v>1286</v>
      </c>
      <c r="N64" s="10">
        <v>160</v>
      </c>
      <c r="O64" s="10">
        <v>430</v>
      </c>
      <c r="P64" s="10">
        <f>590+26+80</f>
        <v>696</v>
      </c>
      <c r="Q64" s="10">
        <v>0</v>
      </c>
      <c r="R64" s="530"/>
      <c r="S64" s="530"/>
      <c r="T64" s="531"/>
      <c r="U64" s="531"/>
      <c r="V64" s="531"/>
      <c r="W64" s="531"/>
      <c r="X64" s="531"/>
      <c r="Y64" s="531"/>
      <c r="Z64" s="536"/>
    </row>
    <row r="65" spans="1:26" ht="15.75">
      <c r="A65" s="540">
        <v>52</v>
      </c>
      <c r="B65" s="547" t="s">
        <v>404</v>
      </c>
      <c r="C65" s="547"/>
      <c r="D65" s="416">
        <f t="shared" si="11"/>
        <v>1696.5</v>
      </c>
      <c r="E65" s="416">
        <f t="shared" si="12"/>
        <v>1696.5</v>
      </c>
      <c r="F65" s="416">
        <f t="shared" si="16"/>
        <v>565.5</v>
      </c>
      <c r="G65" s="10">
        <v>1131</v>
      </c>
      <c r="H65" s="529">
        <f t="shared" si="13"/>
        <v>0</v>
      </c>
      <c r="I65" s="529">
        <f t="shared" si="9"/>
        <v>0</v>
      </c>
      <c r="J65" s="10">
        <v>0</v>
      </c>
      <c r="K65" s="529">
        <f t="shared" si="14"/>
        <v>1878</v>
      </c>
      <c r="L65" s="529">
        <f>(M65/4)*2</f>
        <v>626</v>
      </c>
      <c r="M65" s="529">
        <f t="shared" si="15"/>
        <v>1252</v>
      </c>
      <c r="N65" s="10">
        <v>165</v>
      </c>
      <c r="O65" s="10">
        <v>327</v>
      </c>
      <c r="P65" s="10">
        <f>596+21+143</f>
        <v>760</v>
      </c>
      <c r="Q65" s="10">
        <v>0</v>
      </c>
      <c r="R65" s="530"/>
      <c r="S65" s="530"/>
      <c r="T65" s="531"/>
      <c r="U65" s="531"/>
      <c r="V65" s="531"/>
      <c r="W65" s="531"/>
      <c r="X65" s="531"/>
      <c r="Y65" s="531"/>
      <c r="Z65" s="536"/>
    </row>
    <row r="66" spans="1:26" ht="15.75">
      <c r="A66" s="540">
        <v>53</v>
      </c>
      <c r="B66" s="547" t="s">
        <v>405</v>
      </c>
      <c r="C66" s="547"/>
      <c r="D66" s="416">
        <f t="shared" si="11"/>
        <v>250</v>
      </c>
      <c r="E66" s="416">
        <f t="shared" si="12"/>
        <v>250</v>
      </c>
      <c r="F66" s="539">
        <v>100</v>
      </c>
      <c r="G66" s="10">
        <v>150</v>
      </c>
      <c r="H66" s="529">
        <f t="shared" si="13"/>
        <v>0</v>
      </c>
      <c r="I66" s="529">
        <f t="shared" si="9"/>
        <v>0</v>
      </c>
      <c r="J66" s="10">
        <v>0</v>
      </c>
      <c r="K66" s="529">
        <f t="shared" si="14"/>
        <v>1208</v>
      </c>
      <c r="L66" s="533">
        <v>350</v>
      </c>
      <c r="M66" s="529">
        <f t="shared" si="15"/>
        <v>858</v>
      </c>
      <c r="N66" s="10">
        <v>147</v>
      </c>
      <c r="O66" s="10">
        <v>312</v>
      </c>
      <c r="P66" s="10">
        <f>383+13</f>
        <v>396</v>
      </c>
      <c r="Q66" s="10">
        <v>3</v>
      </c>
      <c r="R66" s="530"/>
      <c r="S66" s="530"/>
      <c r="T66" s="531"/>
      <c r="U66" s="531"/>
      <c r="V66" s="531"/>
      <c r="W66" s="531"/>
      <c r="X66" s="531"/>
      <c r="Y66" s="531"/>
      <c r="Z66" s="536"/>
    </row>
    <row r="67" spans="1:26" ht="15.75">
      <c r="A67" s="540">
        <v>54</v>
      </c>
      <c r="B67" s="547" t="s">
        <v>406</v>
      </c>
      <c r="C67" s="547"/>
      <c r="D67" s="416">
        <f t="shared" si="11"/>
        <v>969</v>
      </c>
      <c r="E67" s="416">
        <f t="shared" si="12"/>
        <v>969</v>
      </c>
      <c r="F67" s="416">
        <f aca="true" t="shared" si="17" ref="F67:F72">(G67/4)*2</f>
        <v>323</v>
      </c>
      <c r="G67" s="10">
        <v>646</v>
      </c>
      <c r="H67" s="529">
        <f t="shared" si="13"/>
        <v>0</v>
      </c>
      <c r="I67" s="529">
        <f t="shared" si="9"/>
        <v>0</v>
      </c>
      <c r="J67" s="10">
        <v>0</v>
      </c>
      <c r="K67" s="529">
        <f t="shared" si="14"/>
        <v>4465</v>
      </c>
      <c r="L67" s="529">
        <v>1488</v>
      </c>
      <c r="M67" s="529">
        <f t="shared" si="15"/>
        <v>2977</v>
      </c>
      <c r="N67" s="10">
        <v>130</v>
      </c>
      <c r="O67" s="10">
        <v>852</v>
      </c>
      <c r="P67" s="10">
        <f>1637+358</f>
        <v>1995</v>
      </c>
      <c r="Q67" s="10">
        <v>0</v>
      </c>
      <c r="R67" s="530"/>
      <c r="S67" s="530"/>
      <c r="T67" s="531"/>
      <c r="U67" s="531"/>
      <c r="V67" s="531"/>
      <c r="W67" s="531"/>
      <c r="X67" s="531"/>
      <c r="Y67" s="531"/>
      <c r="Z67" s="536"/>
    </row>
    <row r="68" spans="1:26" ht="15.75">
      <c r="A68" s="540">
        <v>55</v>
      </c>
      <c r="B68" s="547" t="s">
        <v>407</v>
      </c>
      <c r="C68" s="547"/>
      <c r="D68" s="419">
        <f t="shared" si="11"/>
        <v>24</v>
      </c>
      <c r="E68" s="416">
        <f t="shared" si="12"/>
        <v>24</v>
      </c>
      <c r="F68" s="416">
        <f t="shared" si="17"/>
        <v>8</v>
      </c>
      <c r="G68" s="10">
        <v>16</v>
      </c>
      <c r="H68" s="529">
        <f t="shared" si="13"/>
        <v>0</v>
      </c>
      <c r="I68" s="529">
        <f t="shared" si="9"/>
        <v>0</v>
      </c>
      <c r="J68" s="10">
        <v>0</v>
      </c>
      <c r="K68" s="529">
        <f t="shared" si="14"/>
        <v>9848</v>
      </c>
      <c r="L68" s="548">
        <v>4200</v>
      </c>
      <c r="M68" s="548">
        <f t="shared" si="15"/>
        <v>5648</v>
      </c>
      <c r="N68" s="10">
        <v>539</v>
      </c>
      <c r="O68" s="10">
        <v>345</v>
      </c>
      <c r="P68" s="10">
        <f>4224+46+494</f>
        <v>4764</v>
      </c>
      <c r="Q68" s="10">
        <v>0</v>
      </c>
      <c r="R68" s="530" t="s">
        <v>237</v>
      </c>
      <c r="S68" s="530"/>
      <c r="T68" s="531"/>
      <c r="U68" s="531"/>
      <c r="V68" s="531"/>
      <c r="W68" s="531"/>
      <c r="X68" s="531"/>
      <c r="Y68" s="531"/>
      <c r="Z68" s="536"/>
    </row>
    <row r="69" spans="1:26" ht="15.75">
      <c r="A69" s="540">
        <v>56</v>
      </c>
      <c r="B69" s="547" t="s">
        <v>408</v>
      </c>
      <c r="C69" s="547"/>
      <c r="D69" s="419">
        <f t="shared" si="11"/>
        <v>990</v>
      </c>
      <c r="E69" s="416">
        <f t="shared" si="12"/>
        <v>990</v>
      </c>
      <c r="F69" s="416">
        <f t="shared" si="17"/>
        <v>330</v>
      </c>
      <c r="G69" s="10">
        <v>660</v>
      </c>
      <c r="H69" s="529">
        <f t="shared" si="13"/>
        <v>0</v>
      </c>
      <c r="I69" s="529">
        <f t="shared" si="9"/>
        <v>0</v>
      </c>
      <c r="J69" s="10">
        <v>0</v>
      </c>
      <c r="K69" s="529">
        <f t="shared" si="14"/>
        <v>1948.5</v>
      </c>
      <c r="L69" s="529">
        <f>(M69/4)*2</f>
        <v>649.5</v>
      </c>
      <c r="M69" s="529">
        <f t="shared" si="15"/>
        <v>1299</v>
      </c>
      <c r="N69" s="10">
        <v>378</v>
      </c>
      <c r="O69" s="10">
        <v>179</v>
      </c>
      <c r="P69" s="10">
        <f>471+6+265</f>
        <v>742</v>
      </c>
      <c r="Q69" s="10">
        <v>0</v>
      </c>
      <c r="R69" s="530" t="s">
        <v>238</v>
      </c>
      <c r="S69" s="530"/>
      <c r="T69" s="531"/>
      <c r="U69" s="531"/>
      <c r="V69" s="531"/>
      <c r="W69" s="531"/>
      <c r="X69" s="531"/>
      <c r="Y69" s="531"/>
      <c r="Z69" s="536"/>
    </row>
    <row r="70" spans="1:26" ht="15.75">
      <c r="A70" s="540">
        <v>57</v>
      </c>
      <c r="B70" s="547" t="s">
        <v>409</v>
      </c>
      <c r="C70" s="547"/>
      <c r="D70" s="416">
        <f t="shared" si="11"/>
        <v>330</v>
      </c>
      <c r="E70" s="416">
        <f t="shared" si="12"/>
        <v>330</v>
      </c>
      <c r="F70" s="416">
        <f t="shared" si="17"/>
        <v>110</v>
      </c>
      <c r="G70" s="10">
        <v>220</v>
      </c>
      <c r="H70" s="529">
        <f t="shared" si="13"/>
        <v>0</v>
      </c>
      <c r="I70" s="529">
        <f t="shared" si="9"/>
        <v>0</v>
      </c>
      <c r="J70" s="10">
        <v>0</v>
      </c>
      <c r="K70" s="529">
        <f t="shared" si="14"/>
        <v>3780</v>
      </c>
      <c r="L70" s="529">
        <f>(M70/4)*2</f>
        <v>1260</v>
      </c>
      <c r="M70" s="529">
        <f t="shared" si="15"/>
        <v>2520</v>
      </c>
      <c r="N70" s="10">
        <v>0</v>
      </c>
      <c r="O70" s="10">
        <v>714</v>
      </c>
      <c r="P70" s="10">
        <f>1497+1+308</f>
        <v>1806</v>
      </c>
      <c r="Q70" s="10">
        <v>0</v>
      </c>
      <c r="R70" s="530"/>
      <c r="S70" s="530"/>
      <c r="T70" s="531"/>
      <c r="U70" s="531"/>
      <c r="V70" s="531"/>
      <c r="W70" s="531"/>
      <c r="X70" s="531"/>
      <c r="Y70" s="531"/>
      <c r="Z70" s="536"/>
    </row>
    <row r="71" spans="1:26" ht="15.75">
      <c r="A71" s="540">
        <v>58</v>
      </c>
      <c r="B71" s="547" t="s">
        <v>410</v>
      </c>
      <c r="C71" s="547"/>
      <c r="D71" s="419">
        <f t="shared" si="11"/>
        <v>724.5</v>
      </c>
      <c r="E71" s="416">
        <f t="shared" si="12"/>
        <v>721.5</v>
      </c>
      <c r="F71" s="416">
        <f t="shared" si="17"/>
        <v>240.5</v>
      </c>
      <c r="G71" s="10">
        <v>481</v>
      </c>
      <c r="H71" s="529">
        <f t="shared" si="13"/>
        <v>3</v>
      </c>
      <c r="I71" s="529">
        <f t="shared" si="9"/>
        <v>1</v>
      </c>
      <c r="J71" s="10">
        <v>2</v>
      </c>
      <c r="K71" s="529">
        <f t="shared" si="14"/>
        <v>27391.5</v>
      </c>
      <c r="L71" s="529">
        <f>(M71/4)*2</f>
        <v>9130.5</v>
      </c>
      <c r="M71" s="529">
        <f t="shared" si="15"/>
        <v>18261</v>
      </c>
      <c r="N71" s="10">
        <v>1917</v>
      </c>
      <c r="O71" s="10">
        <v>3868</v>
      </c>
      <c r="P71" s="10">
        <f>9206+20+3250</f>
        <v>12476</v>
      </c>
      <c r="Q71" s="10">
        <v>0</v>
      </c>
      <c r="R71" s="530" t="s">
        <v>239</v>
      </c>
      <c r="S71" s="530"/>
      <c r="T71" s="531"/>
      <c r="U71" s="531"/>
      <c r="V71" s="531"/>
      <c r="W71" s="531"/>
      <c r="X71" s="531"/>
      <c r="Y71" s="531"/>
      <c r="Z71" s="536"/>
    </row>
    <row r="72" spans="1:26" ht="15.75">
      <c r="A72" s="540">
        <v>59</v>
      </c>
      <c r="B72" s="547" t="s">
        <v>411</v>
      </c>
      <c r="C72" s="547"/>
      <c r="D72" s="416">
        <f t="shared" si="11"/>
        <v>0</v>
      </c>
      <c r="E72" s="416">
        <f t="shared" si="12"/>
        <v>0</v>
      </c>
      <c r="F72" s="416">
        <f t="shared" si="17"/>
        <v>0</v>
      </c>
      <c r="G72" s="10">
        <v>0</v>
      </c>
      <c r="H72" s="529">
        <f t="shared" si="13"/>
        <v>0</v>
      </c>
      <c r="I72" s="529">
        <f t="shared" si="9"/>
        <v>0</v>
      </c>
      <c r="J72" s="10">
        <v>0</v>
      </c>
      <c r="K72" s="529">
        <f t="shared" si="14"/>
        <v>1458</v>
      </c>
      <c r="L72" s="529">
        <f>(M72/4)*2</f>
        <v>486</v>
      </c>
      <c r="M72" s="529">
        <f t="shared" si="15"/>
        <v>972</v>
      </c>
      <c r="N72" s="10">
        <v>130</v>
      </c>
      <c r="O72" s="10">
        <v>497</v>
      </c>
      <c r="P72" s="10">
        <f>286+6+53</f>
        <v>345</v>
      </c>
      <c r="Q72" s="10">
        <v>0</v>
      </c>
      <c r="R72" s="530"/>
      <c r="S72" s="530"/>
      <c r="T72" s="531"/>
      <c r="U72" s="531"/>
      <c r="V72" s="531"/>
      <c r="W72" s="531"/>
      <c r="X72" s="531"/>
      <c r="Y72" s="531"/>
      <c r="Z72" s="536"/>
    </row>
    <row r="73" spans="1:26" ht="15.75">
      <c r="A73" s="540">
        <v>60</v>
      </c>
      <c r="B73" s="547" t="s">
        <v>412</v>
      </c>
      <c r="C73" s="547"/>
      <c r="D73" s="416">
        <f t="shared" si="11"/>
        <v>661</v>
      </c>
      <c r="E73" s="416">
        <f t="shared" si="12"/>
        <v>661</v>
      </c>
      <c r="F73" s="416">
        <v>220</v>
      </c>
      <c r="G73" s="10">
        <v>441</v>
      </c>
      <c r="H73" s="529">
        <f t="shared" si="13"/>
        <v>0</v>
      </c>
      <c r="I73" s="529">
        <f t="shared" si="9"/>
        <v>0</v>
      </c>
      <c r="J73" s="10">
        <v>0</v>
      </c>
      <c r="K73" s="529">
        <f t="shared" si="14"/>
        <v>1324</v>
      </c>
      <c r="L73" s="529">
        <v>441</v>
      </c>
      <c r="M73" s="529">
        <f t="shared" si="15"/>
        <v>883</v>
      </c>
      <c r="N73" s="10">
        <v>217</v>
      </c>
      <c r="O73" s="10">
        <v>35</v>
      </c>
      <c r="P73" s="10">
        <f>249+25+357</f>
        <v>631</v>
      </c>
      <c r="Q73" s="10">
        <v>0</v>
      </c>
      <c r="R73" s="530"/>
      <c r="S73" s="530"/>
      <c r="T73" s="531"/>
      <c r="U73" s="531"/>
      <c r="V73" s="531"/>
      <c r="W73" s="531"/>
      <c r="X73" s="531"/>
      <c r="Y73" s="531"/>
      <c r="Z73" s="536"/>
    </row>
    <row r="74" spans="1:26" ht="15.75">
      <c r="A74" s="540">
        <v>61</v>
      </c>
      <c r="B74" s="547" t="s">
        <v>413</v>
      </c>
      <c r="C74" s="547"/>
      <c r="D74" s="416">
        <f t="shared" si="11"/>
        <v>426</v>
      </c>
      <c r="E74" s="416">
        <f t="shared" si="12"/>
        <v>426</v>
      </c>
      <c r="F74" s="416">
        <f>(G74/4)*2</f>
        <v>142</v>
      </c>
      <c r="G74" s="10">
        <v>284</v>
      </c>
      <c r="H74" s="529">
        <f t="shared" si="13"/>
        <v>0</v>
      </c>
      <c r="I74" s="529">
        <f t="shared" si="9"/>
        <v>0</v>
      </c>
      <c r="J74" s="10">
        <v>0</v>
      </c>
      <c r="K74" s="529">
        <f t="shared" si="14"/>
        <v>5013</v>
      </c>
      <c r="L74" s="529">
        <f>(M74/4)*2</f>
        <v>1671</v>
      </c>
      <c r="M74" s="529">
        <f t="shared" si="15"/>
        <v>3342</v>
      </c>
      <c r="N74" s="10">
        <v>174</v>
      </c>
      <c r="O74" s="10">
        <v>814</v>
      </c>
      <c r="P74" s="10">
        <f>2123+120+111</f>
        <v>2354</v>
      </c>
      <c r="Q74" s="10">
        <v>0</v>
      </c>
      <c r="R74" s="530"/>
      <c r="S74" s="530"/>
      <c r="T74" s="531"/>
      <c r="U74" s="531"/>
      <c r="V74" s="531"/>
      <c r="W74" s="531"/>
      <c r="X74" s="531"/>
      <c r="Y74" s="531"/>
      <c r="Z74" s="536"/>
    </row>
    <row r="75" spans="1:26" ht="15.75">
      <c r="A75" s="540">
        <v>62</v>
      </c>
      <c r="B75" s="547" t="s">
        <v>414</v>
      </c>
      <c r="C75" s="547"/>
      <c r="D75" s="416">
        <f t="shared" si="11"/>
        <v>1009</v>
      </c>
      <c r="E75" s="416">
        <f t="shared" si="12"/>
        <v>991</v>
      </c>
      <c r="F75" s="416">
        <v>330</v>
      </c>
      <c r="G75" s="10">
        <v>661</v>
      </c>
      <c r="H75" s="529">
        <f t="shared" si="13"/>
        <v>18</v>
      </c>
      <c r="I75" s="529">
        <f t="shared" si="9"/>
        <v>6</v>
      </c>
      <c r="J75" s="10">
        <v>12</v>
      </c>
      <c r="K75" s="529">
        <f t="shared" si="14"/>
        <v>2371</v>
      </c>
      <c r="L75" s="529">
        <v>790</v>
      </c>
      <c r="M75" s="529">
        <f t="shared" si="15"/>
        <v>1581</v>
      </c>
      <c r="N75" s="10">
        <v>193</v>
      </c>
      <c r="O75" s="10">
        <v>23</v>
      </c>
      <c r="P75" s="10">
        <f>1224+18+123</f>
        <v>1365</v>
      </c>
      <c r="Q75" s="10">
        <v>0</v>
      </c>
      <c r="R75" s="530"/>
      <c r="S75" s="530"/>
      <c r="T75" s="531"/>
      <c r="U75" s="531"/>
      <c r="V75" s="531"/>
      <c r="W75" s="531"/>
      <c r="X75" s="531"/>
      <c r="Y75" s="531"/>
      <c r="Z75" s="536"/>
    </row>
    <row r="76" spans="1:26" ht="15.75">
      <c r="A76" s="540">
        <v>63</v>
      </c>
      <c r="B76" s="547" t="s">
        <v>415</v>
      </c>
      <c r="C76" s="549"/>
      <c r="D76" s="416">
        <f t="shared" si="11"/>
        <v>170</v>
      </c>
      <c r="E76" s="416">
        <f t="shared" si="12"/>
        <v>170</v>
      </c>
      <c r="F76" s="539">
        <v>120</v>
      </c>
      <c r="G76" s="10">
        <v>50</v>
      </c>
      <c r="H76" s="529">
        <f t="shared" si="13"/>
        <v>0</v>
      </c>
      <c r="I76" s="529">
        <f t="shared" si="9"/>
        <v>0</v>
      </c>
      <c r="J76" s="10">
        <v>0</v>
      </c>
      <c r="K76" s="529">
        <f t="shared" si="14"/>
        <v>1451</v>
      </c>
      <c r="L76" s="533">
        <v>200</v>
      </c>
      <c r="M76" s="529">
        <f t="shared" si="15"/>
        <v>1251</v>
      </c>
      <c r="N76" s="10">
        <v>0</v>
      </c>
      <c r="O76" s="10">
        <v>225</v>
      </c>
      <c r="P76" s="10">
        <f>671+317+38</f>
        <v>1026</v>
      </c>
      <c r="Q76" s="10">
        <v>0</v>
      </c>
      <c r="R76" s="530"/>
      <c r="S76" s="530"/>
      <c r="T76" s="531"/>
      <c r="U76" s="531"/>
      <c r="V76" s="531"/>
      <c r="W76" s="531"/>
      <c r="X76" s="531"/>
      <c r="Y76" s="531"/>
      <c r="Z76" s="536"/>
    </row>
    <row r="77" spans="18:26" ht="12.75">
      <c r="R77" s="550"/>
      <c r="S77" s="550"/>
      <c r="T77" s="536"/>
      <c r="U77" s="536"/>
      <c r="V77" s="536"/>
      <c r="W77" s="536"/>
      <c r="X77" s="536"/>
      <c r="Y77" s="536"/>
      <c r="Z77" s="536"/>
    </row>
    <row r="78" spans="1:8" s="89" customFormat="1" ht="18" customHeight="1">
      <c r="A78" s="50"/>
      <c r="B78" s="50" t="s">
        <v>342</v>
      </c>
      <c r="D78" s="56" t="s">
        <v>505</v>
      </c>
      <c r="F78" s="50"/>
      <c r="G78" s="88"/>
      <c r="H78" s="88"/>
    </row>
    <row r="79" spans="1:6" s="87" customFormat="1" ht="18" customHeight="1">
      <c r="A79" s="50"/>
      <c r="B79" s="50" t="s">
        <v>343</v>
      </c>
      <c r="D79" s="50" t="s">
        <v>344</v>
      </c>
      <c r="F79" s="50"/>
    </row>
    <row r="80" spans="1:6" s="87" customFormat="1" ht="18" customHeight="1">
      <c r="A80" s="50"/>
      <c r="B80" s="50" t="s">
        <v>345</v>
      </c>
      <c r="D80" s="50" t="s">
        <v>346</v>
      </c>
      <c r="F80" s="50"/>
    </row>
    <row r="81" spans="1:16" s="22" customFormat="1" ht="15.75">
      <c r="A81"/>
      <c r="B81" s="142"/>
      <c r="D81" s="120" t="s">
        <v>493</v>
      </c>
      <c r="F81"/>
      <c r="G81"/>
      <c r="H81"/>
      <c r="I81"/>
      <c r="J81"/>
      <c r="K81"/>
      <c r="L81"/>
      <c r="M81"/>
      <c r="N81"/>
      <c r="O81"/>
      <c r="P81" s="13"/>
    </row>
    <row r="82" spans="1:16" s="22" customFormat="1" ht="15.75">
      <c r="A82"/>
      <c r="B82" s="90"/>
      <c r="D82" s="50" t="s">
        <v>430</v>
      </c>
      <c r="F82"/>
      <c r="G82"/>
      <c r="H82"/>
      <c r="I82"/>
      <c r="J82"/>
      <c r="K82"/>
      <c r="L82"/>
      <c r="M82"/>
      <c r="N82"/>
      <c r="O82"/>
      <c r="P82" s="13"/>
    </row>
    <row r="83" spans="1:16" s="22" customFormat="1" ht="15.75">
      <c r="A83"/>
      <c r="B83" s="91"/>
      <c r="D83" s="50" t="s">
        <v>429</v>
      </c>
      <c r="F83"/>
      <c r="G83"/>
      <c r="H83"/>
      <c r="I83"/>
      <c r="J83"/>
      <c r="K83"/>
      <c r="L83"/>
      <c r="M83"/>
      <c r="N83"/>
      <c r="O83"/>
      <c r="P83" s="13"/>
    </row>
    <row r="84" spans="1:16" s="38" customFormat="1" ht="15.75">
      <c r="A84"/>
      <c r="B84" s="143"/>
      <c r="D84" s="86" t="s">
        <v>495</v>
      </c>
      <c r="F84"/>
      <c r="G84"/>
      <c r="H84"/>
      <c r="I84"/>
      <c r="J84"/>
      <c r="K84"/>
      <c r="L84"/>
      <c r="M84"/>
      <c r="N84"/>
      <c r="O84"/>
      <c r="P84" s="13"/>
    </row>
    <row r="85" spans="1:20" s="17" customFormat="1" ht="15.75">
      <c r="A85" s="24"/>
      <c r="B85" s="25"/>
      <c r="C85" s="392"/>
      <c r="D85" s="392"/>
      <c r="E85" s="392"/>
      <c r="F85" s="392"/>
      <c r="G85" s="392"/>
      <c r="H85" s="392"/>
      <c r="I85" s="392"/>
      <c r="J85" s="392"/>
      <c r="K85" s="392"/>
      <c r="L85" s="392"/>
      <c r="M85" s="392"/>
      <c r="N85" s="392"/>
      <c r="O85" s="254"/>
      <c r="P85" s="254"/>
      <c r="Q85" s="254"/>
      <c r="R85" s="254"/>
      <c r="S85" s="254"/>
      <c r="T85" s="254"/>
    </row>
    <row r="86" spans="11:19" ht="12.75">
      <c r="K86" s="255"/>
      <c r="R86"/>
      <c r="S86" s="255"/>
    </row>
    <row r="87" spans="11:19" ht="12" customHeight="1">
      <c r="K87" s="255"/>
      <c r="R87"/>
      <c r="S87" s="255"/>
    </row>
    <row r="88" spans="11:19" ht="12.75">
      <c r="K88" s="255"/>
      <c r="R88"/>
      <c r="S88" s="255"/>
    </row>
  </sheetData>
  <sheetProtection/>
  <mergeCells count="67">
    <mergeCell ref="B56:C56"/>
    <mergeCell ref="B57:C57"/>
    <mergeCell ref="B45:C45"/>
    <mergeCell ref="B46:C46"/>
    <mergeCell ref="B50:C50"/>
    <mergeCell ref="B51:C51"/>
    <mergeCell ref="B47:C47"/>
    <mergeCell ref="B48:C48"/>
    <mergeCell ref="B43:C43"/>
    <mergeCell ref="B44:C44"/>
    <mergeCell ref="B37:C37"/>
    <mergeCell ref="B38:C38"/>
    <mergeCell ref="B39:C39"/>
    <mergeCell ref="B40:C40"/>
    <mergeCell ref="B41:C41"/>
    <mergeCell ref="B42:C42"/>
    <mergeCell ref="B35:C35"/>
    <mergeCell ref="B36:C36"/>
    <mergeCell ref="B29:C29"/>
    <mergeCell ref="B30:C30"/>
    <mergeCell ref="B33:C33"/>
    <mergeCell ref="B34:C34"/>
    <mergeCell ref="B31:C31"/>
    <mergeCell ref="B32:C32"/>
    <mergeCell ref="B25:C25"/>
    <mergeCell ref="B26:C26"/>
    <mergeCell ref="B27:C27"/>
    <mergeCell ref="B28:C28"/>
    <mergeCell ref="B19:C19"/>
    <mergeCell ref="B20:C20"/>
    <mergeCell ref="B21:C21"/>
    <mergeCell ref="B22:C22"/>
    <mergeCell ref="B23:C23"/>
    <mergeCell ref="B24:C24"/>
    <mergeCell ref="A13:C13"/>
    <mergeCell ref="B14:C14"/>
    <mergeCell ref="B15:C15"/>
    <mergeCell ref="B16:C16"/>
    <mergeCell ref="B17:C17"/>
    <mergeCell ref="B18:C18"/>
    <mergeCell ref="A12:C12"/>
    <mergeCell ref="K8:K11"/>
    <mergeCell ref="E9:E11"/>
    <mergeCell ref="F9:G9"/>
    <mergeCell ref="H9:H11"/>
    <mergeCell ref="I9:J9"/>
    <mergeCell ref="I10:I11"/>
    <mergeCell ref="A7:C11"/>
    <mergeCell ref="D7:J7"/>
    <mergeCell ref="H8:J8"/>
    <mergeCell ref="L8:L11"/>
    <mergeCell ref="M8:Q8"/>
    <mergeCell ref="G10:G11"/>
    <mergeCell ref="J10:J11"/>
    <mergeCell ref="F10:F11"/>
    <mergeCell ref="M9:M11"/>
    <mergeCell ref="N9:Q9"/>
    <mergeCell ref="K7:Q7"/>
    <mergeCell ref="D8:D11"/>
    <mergeCell ref="Q10:Q11"/>
    <mergeCell ref="A1:F1"/>
    <mergeCell ref="A2:Q2"/>
    <mergeCell ref="A3:Q3"/>
    <mergeCell ref="A5:Q5"/>
    <mergeCell ref="A4:Q4"/>
    <mergeCell ref="N10:P10"/>
    <mergeCell ref="E8:G8"/>
  </mergeCells>
  <printOptions/>
  <pageMargins left="0.25" right="0.25" top="0.25" bottom="0.25" header="0.5" footer="0.5"/>
  <pageSetup horizontalDpi="600" verticalDpi="600" orientation="landscape" scale="90" r:id="rId1"/>
</worksheet>
</file>

<file path=xl/worksheets/sheet14.xml><?xml version="1.0" encoding="utf-8"?>
<worksheet xmlns="http://schemas.openxmlformats.org/spreadsheetml/2006/main" xmlns:r="http://schemas.openxmlformats.org/officeDocument/2006/relationships">
  <dimension ref="A1:V87"/>
  <sheetViews>
    <sheetView view="pageLayout" zoomScale="85" zoomScaleNormal="85" zoomScalePageLayoutView="85" workbookViewId="0" topLeftCell="A6">
      <pane ySplit="4635" topLeftCell="A61" activePane="bottomLeft" state="split"/>
      <selection pane="topLeft" activeCell="F7" sqref="F7:H8"/>
      <selection pane="bottomLeft" activeCell="T53" sqref="T53"/>
    </sheetView>
  </sheetViews>
  <sheetFormatPr defaultColWidth="9.140625" defaultRowHeight="12.75"/>
  <cols>
    <col min="1" max="1" width="4.421875" style="24" customWidth="1"/>
    <col min="2" max="2" width="12.57421875" style="27" customWidth="1"/>
    <col min="3" max="3" width="9.140625" style="24" customWidth="1"/>
    <col min="4" max="4" width="9.7109375" style="24" customWidth="1"/>
    <col min="5" max="6" width="9.140625" style="24" customWidth="1"/>
    <col min="7" max="7" width="9.28125" style="24" customWidth="1"/>
    <col min="8" max="8" width="9.140625" style="24" customWidth="1"/>
    <col min="9" max="9" width="9.7109375" style="24" customWidth="1"/>
    <col min="10" max="10" width="9.421875" style="41" customWidth="1"/>
    <col min="11" max="11" width="9.57421875" style="24" customWidth="1"/>
    <col min="12" max="12" width="8.00390625" style="24" customWidth="1"/>
    <col min="13" max="13" width="11.28125" style="24" customWidth="1"/>
    <col min="14" max="14" width="7.00390625" style="24" customWidth="1"/>
    <col min="15" max="15" width="6.7109375" style="24" customWidth="1"/>
    <col min="16" max="16" width="6.140625" style="24" customWidth="1"/>
    <col min="17" max="17" width="9.00390625" style="24" customWidth="1"/>
    <col min="18" max="18" width="7.7109375" style="24" customWidth="1"/>
    <col min="19" max="19" width="9.7109375" style="24" customWidth="1"/>
    <col min="20" max="16384" width="9.140625" style="17" customWidth="1"/>
  </cols>
  <sheetData>
    <row r="1" spans="1:19" ht="19.5" customHeight="1">
      <c r="A1" s="1" t="s">
        <v>318</v>
      </c>
      <c r="B1" s="1"/>
      <c r="C1" s="2"/>
      <c r="D1" s="29"/>
      <c r="E1" s="29"/>
      <c r="F1" s="29"/>
      <c r="G1" s="29"/>
      <c r="H1" s="29"/>
      <c r="I1" s="29"/>
      <c r="J1" s="3"/>
      <c r="K1" s="29"/>
      <c r="L1" s="29"/>
      <c r="M1" s="29"/>
      <c r="N1" s="29"/>
      <c r="O1" s="29"/>
      <c r="P1" s="29"/>
      <c r="Q1" s="29"/>
      <c r="R1" s="29"/>
      <c r="S1" s="29"/>
    </row>
    <row r="2" spans="1:19" ht="23.25" customHeight="1">
      <c r="A2" s="810" t="s">
        <v>329</v>
      </c>
      <c r="B2" s="810"/>
      <c r="C2" s="810"/>
      <c r="D2" s="810"/>
      <c r="E2" s="810"/>
      <c r="F2" s="810"/>
      <c r="G2" s="810"/>
      <c r="H2" s="810"/>
      <c r="I2" s="810"/>
      <c r="J2" s="810"/>
      <c r="K2" s="810"/>
      <c r="L2" s="810"/>
      <c r="M2" s="810"/>
      <c r="N2" s="810"/>
      <c r="O2" s="810"/>
      <c r="P2" s="810"/>
      <c r="Q2" s="810"/>
      <c r="R2" s="810"/>
      <c r="S2" s="810"/>
    </row>
    <row r="3" spans="1:19" ht="24" customHeight="1">
      <c r="A3" s="883" t="s">
        <v>443</v>
      </c>
      <c r="B3" s="883"/>
      <c r="C3" s="883"/>
      <c r="D3" s="883"/>
      <c r="E3" s="883"/>
      <c r="F3" s="883"/>
      <c r="G3" s="883"/>
      <c r="H3" s="883"/>
      <c r="I3" s="883"/>
      <c r="J3" s="883"/>
      <c r="K3" s="883"/>
      <c r="L3" s="883"/>
      <c r="M3" s="883"/>
      <c r="N3" s="883"/>
      <c r="O3" s="883"/>
      <c r="P3" s="883"/>
      <c r="Q3" s="883"/>
      <c r="R3" s="883"/>
      <c r="S3" s="883"/>
    </row>
    <row r="4" spans="1:19" ht="24" customHeight="1">
      <c r="A4" s="810" t="s">
        <v>319</v>
      </c>
      <c r="B4" s="812"/>
      <c r="C4" s="812"/>
      <c r="D4" s="812"/>
      <c r="E4" s="812"/>
      <c r="F4" s="812"/>
      <c r="G4" s="812"/>
      <c r="H4" s="812"/>
      <c r="I4" s="812"/>
      <c r="J4" s="812"/>
      <c r="K4" s="812"/>
      <c r="L4" s="812"/>
      <c r="M4" s="812"/>
      <c r="N4" s="812"/>
      <c r="O4" s="812"/>
      <c r="P4" s="812"/>
      <c r="Q4" s="812"/>
      <c r="R4" s="812"/>
      <c r="S4" s="812"/>
    </row>
    <row r="5" spans="1:19" ht="15.75">
      <c r="A5" s="5"/>
      <c r="B5" s="6"/>
      <c r="C5" s="6"/>
      <c r="D5" s="30"/>
      <c r="E5" s="30"/>
      <c r="F5" s="31"/>
      <c r="G5" s="31"/>
      <c r="H5" s="31"/>
      <c r="I5" s="30"/>
      <c r="J5" s="7"/>
      <c r="K5" s="30"/>
      <c r="L5" s="30"/>
      <c r="M5" s="31"/>
      <c r="N5" s="32"/>
      <c r="O5" s="31"/>
      <c r="P5" s="31"/>
      <c r="Q5" s="31"/>
      <c r="R5" s="31"/>
      <c r="S5" s="33"/>
    </row>
    <row r="6" spans="1:19" ht="31.5" customHeight="1">
      <c r="A6" s="994"/>
      <c r="B6" s="994"/>
      <c r="C6" s="1076" t="s">
        <v>445</v>
      </c>
      <c r="D6" s="1076"/>
      <c r="E6" s="1076"/>
      <c r="F6" s="1077" t="s">
        <v>444</v>
      </c>
      <c r="G6" s="1078"/>
      <c r="H6" s="1078"/>
      <c r="I6" s="1078"/>
      <c r="J6" s="1078"/>
      <c r="K6" s="1078"/>
      <c r="L6" s="1078"/>
      <c r="M6" s="1079"/>
      <c r="N6" s="1076" t="s">
        <v>446</v>
      </c>
      <c r="O6" s="1076"/>
      <c r="P6" s="1076"/>
      <c r="Q6" s="1076"/>
      <c r="R6" s="1076"/>
      <c r="S6" s="1076"/>
    </row>
    <row r="7" spans="1:19" ht="19.5" customHeight="1">
      <c r="A7" s="994"/>
      <c r="B7" s="994"/>
      <c r="C7" s="1076"/>
      <c r="D7" s="1076"/>
      <c r="E7" s="1076"/>
      <c r="F7" s="1080" t="s">
        <v>330</v>
      </c>
      <c r="G7" s="1081"/>
      <c r="H7" s="1082"/>
      <c r="I7" s="1086" t="s">
        <v>331</v>
      </c>
      <c r="J7" s="1087"/>
      <c r="K7" s="1087"/>
      <c r="L7" s="1087"/>
      <c r="M7" s="1088"/>
      <c r="N7" s="911" t="s">
        <v>332</v>
      </c>
      <c r="O7" s="908" t="s">
        <v>333</v>
      </c>
      <c r="P7" s="1069" t="s">
        <v>320</v>
      </c>
      <c r="Q7" s="1070"/>
      <c r="R7" s="1070"/>
      <c r="S7" s="1071"/>
    </row>
    <row r="8" spans="1:19" ht="21" customHeight="1">
      <c r="A8" s="994"/>
      <c r="B8" s="994"/>
      <c r="C8" s="1076"/>
      <c r="D8" s="1076"/>
      <c r="E8" s="1076"/>
      <c r="F8" s="1083"/>
      <c r="G8" s="1084"/>
      <c r="H8" s="1085"/>
      <c r="I8" s="1075" t="s">
        <v>334</v>
      </c>
      <c r="J8" s="1075"/>
      <c r="K8" s="1075"/>
      <c r="L8" s="849" t="s">
        <v>335</v>
      </c>
      <c r="M8" s="849" t="s">
        <v>336</v>
      </c>
      <c r="N8" s="912"/>
      <c r="O8" s="909"/>
      <c r="P8" s="1072"/>
      <c r="Q8" s="1073"/>
      <c r="R8" s="1073"/>
      <c r="S8" s="1074"/>
    </row>
    <row r="9" spans="1:19" ht="26.25" customHeight="1">
      <c r="A9" s="994"/>
      <c r="B9" s="994"/>
      <c r="C9" s="849" t="s">
        <v>332</v>
      </c>
      <c r="D9" s="849" t="s">
        <v>321</v>
      </c>
      <c r="E9" s="849"/>
      <c r="F9" s="849" t="s">
        <v>332</v>
      </c>
      <c r="G9" s="849" t="s">
        <v>321</v>
      </c>
      <c r="H9" s="849"/>
      <c r="I9" s="849" t="s">
        <v>332</v>
      </c>
      <c r="J9" s="849" t="s">
        <v>321</v>
      </c>
      <c r="K9" s="849"/>
      <c r="L9" s="849"/>
      <c r="M9" s="849"/>
      <c r="N9" s="912"/>
      <c r="O9" s="909"/>
      <c r="P9" s="885" t="s">
        <v>322</v>
      </c>
      <c r="Q9" s="885" t="s">
        <v>337</v>
      </c>
      <c r="R9" s="885"/>
      <c r="S9" s="885"/>
    </row>
    <row r="10" spans="1:19" ht="35.25" customHeight="1">
      <c r="A10" s="994"/>
      <c r="B10" s="994"/>
      <c r="C10" s="849"/>
      <c r="D10" s="908" t="s">
        <v>333</v>
      </c>
      <c r="E10" s="908" t="s">
        <v>320</v>
      </c>
      <c r="F10" s="849"/>
      <c r="G10" s="908" t="s">
        <v>333</v>
      </c>
      <c r="H10" s="908" t="s">
        <v>320</v>
      </c>
      <c r="I10" s="849"/>
      <c r="J10" s="908" t="s">
        <v>333</v>
      </c>
      <c r="K10" s="908" t="s">
        <v>320</v>
      </c>
      <c r="L10" s="849"/>
      <c r="M10" s="849"/>
      <c r="N10" s="912"/>
      <c r="O10" s="909"/>
      <c r="P10" s="885"/>
      <c r="Q10" s="1086" t="s">
        <v>338</v>
      </c>
      <c r="R10" s="1088"/>
      <c r="S10" s="911" t="s">
        <v>339</v>
      </c>
    </row>
    <row r="11" spans="1:22" ht="97.5" customHeight="1">
      <c r="A11" s="994"/>
      <c r="B11" s="994"/>
      <c r="C11" s="849"/>
      <c r="D11" s="910"/>
      <c r="E11" s="910"/>
      <c r="F11" s="849"/>
      <c r="G11" s="910"/>
      <c r="H11" s="910"/>
      <c r="I11" s="849"/>
      <c r="J11" s="910"/>
      <c r="K11" s="910"/>
      <c r="L11" s="849"/>
      <c r="M11" s="849"/>
      <c r="N11" s="913"/>
      <c r="O11" s="910"/>
      <c r="P11" s="885"/>
      <c r="Q11" s="57" t="s">
        <v>340</v>
      </c>
      <c r="R11" s="57" t="s">
        <v>341</v>
      </c>
      <c r="S11" s="913"/>
      <c r="T11" s="17" t="s">
        <v>468</v>
      </c>
      <c r="U11" s="17" t="s">
        <v>475</v>
      </c>
      <c r="V11" s="17" t="s">
        <v>500</v>
      </c>
    </row>
    <row r="12" spans="1:19" s="61" customFormat="1" ht="22.5" customHeight="1">
      <c r="A12" s="849" t="s">
        <v>323</v>
      </c>
      <c r="B12" s="849"/>
      <c r="C12" s="60">
        <v>1</v>
      </c>
      <c r="D12" s="60">
        <v>2</v>
      </c>
      <c r="E12" s="60">
        <v>3</v>
      </c>
      <c r="F12" s="60">
        <v>4</v>
      </c>
      <c r="G12" s="60">
        <v>5</v>
      </c>
      <c r="H12" s="60">
        <v>6</v>
      </c>
      <c r="I12" s="60">
        <v>7</v>
      </c>
      <c r="J12" s="60">
        <v>8</v>
      </c>
      <c r="K12" s="60">
        <v>9</v>
      </c>
      <c r="L12" s="60">
        <v>10</v>
      </c>
      <c r="M12" s="60">
        <v>11</v>
      </c>
      <c r="N12" s="60">
        <v>12</v>
      </c>
      <c r="O12" s="60">
        <v>13</v>
      </c>
      <c r="P12" s="60">
        <v>14</v>
      </c>
      <c r="Q12" s="60">
        <v>15</v>
      </c>
      <c r="R12" s="60">
        <v>16</v>
      </c>
      <c r="S12" s="60">
        <v>17</v>
      </c>
    </row>
    <row r="13" spans="1:19" s="66" customFormat="1" ht="38.25" customHeight="1">
      <c r="A13" s="850" t="s">
        <v>324</v>
      </c>
      <c r="B13" s="850"/>
      <c r="C13" s="100">
        <f aca="true" t="shared" si="0" ref="C13:S13">SUM(C14:C76)</f>
        <v>62016</v>
      </c>
      <c r="D13" s="100">
        <f t="shared" si="0"/>
        <v>19919</v>
      </c>
      <c r="E13" s="100">
        <f t="shared" si="0"/>
        <v>42097</v>
      </c>
      <c r="F13" s="100">
        <f t="shared" si="0"/>
        <v>63427.5</v>
      </c>
      <c r="G13" s="100">
        <f t="shared" si="0"/>
        <v>20841.5</v>
      </c>
      <c r="H13" s="100">
        <f t="shared" si="0"/>
        <v>42586</v>
      </c>
      <c r="I13" s="100">
        <f t="shared" si="0"/>
        <v>58773.5</v>
      </c>
      <c r="J13" s="100">
        <f t="shared" si="0"/>
        <v>19420.5</v>
      </c>
      <c r="K13" s="100">
        <f t="shared" si="0"/>
        <v>39353</v>
      </c>
      <c r="L13" s="100">
        <f t="shared" si="0"/>
        <v>4</v>
      </c>
      <c r="M13" s="100">
        <f t="shared" si="0"/>
        <v>2698</v>
      </c>
      <c r="N13" s="100">
        <f t="shared" si="0"/>
        <v>719</v>
      </c>
      <c r="O13" s="100">
        <f t="shared" si="0"/>
        <v>244</v>
      </c>
      <c r="P13" s="100">
        <f t="shared" si="0"/>
        <v>475</v>
      </c>
      <c r="Q13" s="100">
        <f t="shared" si="0"/>
        <v>47</v>
      </c>
      <c r="R13" s="100">
        <f t="shared" si="0"/>
        <v>1</v>
      </c>
      <c r="S13" s="100">
        <f t="shared" si="0"/>
        <v>0</v>
      </c>
    </row>
    <row r="14" spans="1:21" s="66" customFormat="1" ht="19.5" customHeight="1">
      <c r="A14" s="59">
        <v>1</v>
      </c>
      <c r="B14" s="69" t="s">
        <v>449</v>
      </c>
      <c r="C14" s="101">
        <f aca="true" t="shared" si="1" ref="C14:C76">D14+E14</f>
        <v>791</v>
      </c>
      <c r="D14" s="28">
        <v>132</v>
      </c>
      <c r="E14" s="144">
        <v>659</v>
      </c>
      <c r="F14" s="101">
        <f aca="true" t="shared" si="2" ref="F14:F76">G14+H14</f>
        <v>1648</v>
      </c>
      <c r="G14" s="144">
        <v>989</v>
      </c>
      <c r="H14" s="144">
        <v>659</v>
      </c>
      <c r="I14" s="101">
        <f aca="true" t="shared" si="3" ref="I14:I76">J14+K14</f>
        <v>1318</v>
      </c>
      <c r="J14" s="144">
        <v>659</v>
      </c>
      <c r="K14" s="146">
        <v>659</v>
      </c>
      <c r="L14" s="148">
        <v>0</v>
      </c>
      <c r="M14" s="148">
        <v>0</v>
      </c>
      <c r="N14" s="101">
        <f aca="true" t="shared" si="4" ref="N14:N76">O14+P14</f>
        <v>0</v>
      </c>
      <c r="O14" s="14"/>
      <c r="P14" s="102">
        <f>Q14+R14+S14</f>
        <v>0</v>
      </c>
      <c r="Q14" s="148">
        <v>0</v>
      </c>
      <c r="R14" s="148">
        <v>0</v>
      </c>
      <c r="S14" s="148">
        <v>0</v>
      </c>
      <c r="T14" s="66" t="s">
        <v>466</v>
      </c>
      <c r="U14" s="66" t="s">
        <v>476</v>
      </c>
    </row>
    <row r="15" spans="1:19" s="96" customFormat="1" ht="38.25" customHeight="1">
      <c r="A15" s="67">
        <v>2</v>
      </c>
      <c r="B15" s="95" t="s">
        <v>450</v>
      </c>
      <c r="C15" s="103">
        <f t="shared" si="1"/>
        <v>1201.5</v>
      </c>
      <c r="D15" s="97">
        <f aca="true" t="shared" si="5" ref="D15:D76">(E15/4)*2</f>
        <v>400.5</v>
      </c>
      <c r="E15" s="14">
        <v>801</v>
      </c>
      <c r="F15" s="103">
        <f t="shared" si="2"/>
        <v>1201.5</v>
      </c>
      <c r="G15" s="97">
        <f aca="true" t="shared" si="6" ref="G15:G76">H15/4*2</f>
        <v>400.5</v>
      </c>
      <c r="H15" s="14">
        <v>801</v>
      </c>
      <c r="I15" s="103">
        <f t="shared" si="3"/>
        <v>1134</v>
      </c>
      <c r="J15" s="97">
        <f aca="true" t="shared" si="7" ref="J15:J76">K15/4*2</f>
        <v>378</v>
      </c>
      <c r="K15" s="34">
        <v>756</v>
      </c>
      <c r="L15" s="148"/>
      <c r="M15" s="148">
        <v>45</v>
      </c>
      <c r="N15" s="104">
        <f t="shared" si="4"/>
        <v>0</v>
      </c>
      <c r="O15" s="105"/>
      <c r="P15" s="106">
        <f aca="true" t="shared" si="8" ref="P15:P76">Q15+R15+S15</f>
        <v>0</v>
      </c>
      <c r="Q15" s="148">
        <v>0</v>
      </c>
      <c r="R15" s="148">
        <v>0</v>
      </c>
      <c r="S15" s="148">
        <v>0</v>
      </c>
    </row>
    <row r="16" spans="1:19" s="66" customFormat="1" ht="19.5" customHeight="1">
      <c r="A16" s="59">
        <v>3</v>
      </c>
      <c r="B16" s="69" t="s">
        <v>451</v>
      </c>
      <c r="C16" s="101">
        <f t="shared" si="1"/>
        <v>174</v>
      </c>
      <c r="D16" s="92">
        <f t="shared" si="5"/>
        <v>58</v>
      </c>
      <c r="E16" s="28">
        <v>116</v>
      </c>
      <c r="F16" s="101">
        <f t="shared" si="2"/>
        <v>174</v>
      </c>
      <c r="G16" s="92">
        <f t="shared" si="6"/>
        <v>58</v>
      </c>
      <c r="H16" s="28">
        <v>116</v>
      </c>
      <c r="I16" s="101">
        <f t="shared" si="3"/>
        <v>174</v>
      </c>
      <c r="J16" s="92">
        <f t="shared" si="7"/>
        <v>58</v>
      </c>
      <c r="K16" s="34">
        <v>116</v>
      </c>
      <c r="L16" s="148">
        <v>0</v>
      </c>
      <c r="M16" s="148">
        <v>0</v>
      </c>
      <c r="N16" s="101">
        <f t="shared" si="4"/>
        <v>0</v>
      </c>
      <c r="O16" s="105">
        <v>0</v>
      </c>
      <c r="P16" s="102">
        <f t="shared" si="8"/>
        <v>0</v>
      </c>
      <c r="Q16" s="148">
        <v>0</v>
      </c>
      <c r="R16" s="148">
        <v>0</v>
      </c>
      <c r="S16" s="148">
        <v>0</v>
      </c>
    </row>
    <row r="17" spans="1:19" s="66" customFormat="1" ht="19.5" customHeight="1">
      <c r="A17" s="59">
        <v>4</v>
      </c>
      <c r="B17" s="69" t="s">
        <v>452</v>
      </c>
      <c r="C17" s="101">
        <f t="shared" si="1"/>
        <v>106.5</v>
      </c>
      <c r="D17" s="92">
        <f t="shared" si="5"/>
        <v>35.5</v>
      </c>
      <c r="E17" s="28">
        <v>71</v>
      </c>
      <c r="F17" s="101">
        <f t="shared" si="2"/>
        <v>121.5</v>
      </c>
      <c r="G17" s="92">
        <f t="shared" si="6"/>
        <v>40.5</v>
      </c>
      <c r="H17" s="28">
        <v>81</v>
      </c>
      <c r="I17" s="101">
        <f t="shared" si="3"/>
        <v>106.5</v>
      </c>
      <c r="J17" s="92">
        <f t="shared" si="7"/>
        <v>35.5</v>
      </c>
      <c r="K17" s="34">
        <v>71</v>
      </c>
      <c r="L17" s="148">
        <v>0</v>
      </c>
      <c r="M17" s="148">
        <v>10</v>
      </c>
      <c r="N17" s="101">
        <f t="shared" si="4"/>
        <v>0</v>
      </c>
      <c r="O17" s="105"/>
      <c r="P17" s="102">
        <f t="shared" si="8"/>
        <v>0</v>
      </c>
      <c r="Q17" s="148">
        <v>0</v>
      </c>
      <c r="R17" s="148">
        <v>0</v>
      </c>
      <c r="S17" s="148">
        <v>0</v>
      </c>
    </row>
    <row r="18" spans="1:19" s="66" customFormat="1" ht="19.5" customHeight="1">
      <c r="A18" s="59">
        <v>5</v>
      </c>
      <c r="B18" s="69" t="s">
        <v>453</v>
      </c>
      <c r="C18" s="101">
        <f t="shared" si="1"/>
        <v>432</v>
      </c>
      <c r="D18" s="92">
        <f t="shared" si="5"/>
        <v>144</v>
      </c>
      <c r="E18" s="28">
        <v>288</v>
      </c>
      <c r="F18" s="101">
        <f t="shared" si="2"/>
        <v>430.5</v>
      </c>
      <c r="G18" s="92">
        <f t="shared" si="6"/>
        <v>143.5</v>
      </c>
      <c r="H18" s="28">
        <v>287</v>
      </c>
      <c r="I18" s="101">
        <f t="shared" si="3"/>
        <v>357</v>
      </c>
      <c r="J18" s="92">
        <f t="shared" si="7"/>
        <v>119</v>
      </c>
      <c r="K18" s="34">
        <v>238</v>
      </c>
      <c r="L18" s="148">
        <v>0</v>
      </c>
      <c r="M18" s="148">
        <v>49</v>
      </c>
      <c r="N18" s="101">
        <f t="shared" si="4"/>
        <v>0</v>
      </c>
      <c r="O18" s="105">
        <v>0</v>
      </c>
      <c r="P18" s="102">
        <f t="shared" si="8"/>
        <v>0</v>
      </c>
      <c r="Q18" s="148">
        <v>0</v>
      </c>
      <c r="R18" s="148">
        <v>0</v>
      </c>
      <c r="S18" s="148">
        <v>0</v>
      </c>
    </row>
    <row r="19" spans="1:19" s="22" customFormat="1" ht="19.5" customHeight="1">
      <c r="A19" s="59">
        <v>6</v>
      </c>
      <c r="B19" s="69" t="s">
        <v>454</v>
      </c>
      <c r="C19" s="101">
        <f t="shared" si="1"/>
        <v>68</v>
      </c>
      <c r="D19" s="28">
        <v>17</v>
      </c>
      <c r="E19" s="28">
        <v>51</v>
      </c>
      <c r="F19" s="101">
        <f t="shared" si="2"/>
        <v>68</v>
      </c>
      <c r="G19" s="98">
        <v>17</v>
      </c>
      <c r="H19" s="28">
        <v>51</v>
      </c>
      <c r="I19" s="101">
        <f t="shared" si="3"/>
        <v>64</v>
      </c>
      <c r="J19" s="92">
        <v>16</v>
      </c>
      <c r="K19" s="14">
        <v>48</v>
      </c>
      <c r="L19" s="148">
        <v>0</v>
      </c>
      <c r="M19" s="148">
        <v>3</v>
      </c>
      <c r="N19" s="101">
        <f t="shared" si="4"/>
        <v>0</v>
      </c>
      <c r="O19" s="105"/>
      <c r="P19" s="102">
        <f t="shared" si="8"/>
        <v>0</v>
      </c>
      <c r="Q19" s="148">
        <v>0</v>
      </c>
      <c r="R19" s="148">
        <v>0</v>
      </c>
      <c r="S19" s="148">
        <v>0</v>
      </c>
    </row>
    <row r="20" spans="1:19" s="22" customFormat="1" ht="19.5" customHeight="1">
      <c r="A20" s="59">
        <v>7</v>
      </c>
      <c r="B20" s="69" t="s">
        <v>455</v>
      </c>
      <c r="C20" s="101">
        <f t="shared" si="1"/>
        <v>411</v>
      </c>
      <c r="D20" s="92">
        <f t="shared" si="5"/>
        <v>137</v>
      </c>
      <c r="E20" s="28">
        <v>274</v>
      </c>
      <c r="F20" s="101">
        <f t="shared" si="2"/>
        <v>411</v>
      </c>
      <c r="G20" s="92">
        <f t="shared" si="6"/>
        <v>137</v>
      </c>
      <c r="H20" s="28">
        <v>274</v>
      </c>
      <c r="I20" s="101">
        <f t="shared" si="3"/>
        <v>297</v>
      </c>
      <c r="J20" s="92">
        <f t="shared" si="7"/>
        <v>99</v>
      </c>
      <c r="K20" s="34">
        <v>198</v>
      </c>
      <c r="L20" s="148">
        <v>0</v>
      </c>
      <c r="M20" s="148">
        <v>76</v>
      </c>
      <c r="N20" s="101">
        <f t="shared" si="4"/>
        <v>0</v>
      </c>
      <c r="O20" s="105"/>
      <c r="P20" s="102">
        <f t="shared" si="8"/>
        <v>0</v>
      </c>
      <c r="Q20" s="148">
        <v>0</v>
      </c>
      <c r="R20" s="148">
        <v>0</v>
      </c>
      <c r="S20" s="148">
        <v>0</v>
      </c>
    </row>
    <row r="21" spans="1:19" s="22" customFormat="1" ht="19.5" customHeight="1">
      <c r="A21" s="59">
        <v>8</v>
      </c>
      <c r="B21" s="69" t="s">
        <v>456</v>
      </c>
      <c r="C21" s="101">
        <f t="shared" si="1"/>
        <v>733.5</v>
      </c>
      <c r="D21" s="92">
        <f t="shared" si="5"/>
        <v>244.5</v>
      </c>
      <c r="E21" s="28">
        <v>489</v>
      </c>
      <c r="F21" s="101">
        <f t="shared" si="2"/>
        <v>733.5</v>
      </c>
      <c r="G21" s="92">
        <f t="shared" si="6"/>
        <v>244.5</v>
      </c>
      <c r="H21" s="28">
        <v>489</v>
      </c>
      <c r="I21" s="101">
        <f t="shared" si="3"/>
        <v>681</v>
      </c>
      <c r="J21" s="92">
        <f t="shared" si="7"/>
        <v>227</v>
      </c>
      <c r="K21" s="34">
        <v>454</v>
      </c>
      <c r="L21" s="148">
        <v>0</v>
      </c>
      <c r="M21" s="148">
        <v>35</v>
      </c>
      <c r="N21" s="101">
        <f t="shared" si="4"/>
        <v>0</v>
      </c>
      <c r="O21" s="105"/>
      <c r="P21" s="102">
        <f t="shared" si="8"/>
        <v>0</v>
      </c>
      <c r="Q21" s="148">
        <v>0</v>
      </c>
      <c r="R21" s="148">
        <v>0</v>
      </c>
      <c r="S21" s="148">
        <v>0</v>
      </c>
    </row>
    <row r="22" spans="1:19" s="22" customFormat="1" ht="19.5" customHeight="1">
      <c r="A22" s="59">
        <v>9</v>
      </c>
      <c r="B22" s="69" t="s">
        <v>457</v>
      </c>
      <c r="C22" s="101">
        <f t="shared" si="1"/>
        <v>6496</v>
      </c>
      <c r="D22" s="92">
        <v>2165</v>
      </c>
      <c r="E22" s="28">
        <v>4331</v>
      </c>
      <c r="F22" s="101">
        <f t="shared" si="2"/>
        <v>6496</v>
      </c>
      <c r="G22" s="92">
        <v>2165</v>
      </c>
      <c r="H22" s="28">
        <v>4331</v>
      </c>
      <c r="I22" s="101">
        <f t="shared" si="3"/>
        <v>6490</v>
      </c>
      <c r="J22" s="92">
        <v>2163</v>
      </c>
      <c r="K22" s="34">
        <v>4327</v>
      </c>
      <c r="L22" s="148">
        <v>0</v>
      </c>
      <c r="M22" s="148">
        <v>4</v>
      </c>
      <c r="N22" s="101">
        <f>O22+P22</f>
        <v>0</v>
      </c>
      <c r="O22" s="105"/>
      <c r="P22" s="102">
        <f>Q22+R22+S22</f>
        <v>0</v>
      </c>
      <c r="Q22" s="149"/>
      <c r="R22" s="149"/>
      <c r="S22" s="149"/>
    </row>
    <row r="23" spans="1:19" s="22" customFormat="1" ht="19.5" customHeight="1">
      <c r="A23" s="59">
        <v>10</v>
      </c>
      <c r="B23" s="69" t="s">
        <v>362</v>
      </c>
      <c r="C23" s="101">
        <f t="shared" si="1"/>
        <v>390</v>
      </c>
      <c r="D23" s="145">
        <f t="shared" si="5"/>
        <v>130</v>
      </c>
      <c r="E23" s="28">
        <v>260</v>
      </c>
      <c r="F23" s="101">
        <f t="shared" si="2"/>
        <v>390</v>
      </c>
      <c r="G23" s="145">
        <f t="shared" si="6"/>
        <v>130</v>
      </c>
      <c r="H23" s="28">
        <v>260</v>
      </c>
      <c r="I23" s="101">
        <f t="shared" si="3"/>
        <v>375</v>
      </c>
      <c r="J23" s="145">
        <f t="shared" si="7"/>
        <v>125</v>
      </c>
      <c r="K23" s="34">
        <v>250</v>
      </c>
      <c r="L23" s="148">
        <v>0</v>
      </c>
      <c r="M23" s="148">
        <v>10</v>
      </c>
      <c r="N23" s="101">
        <f t="shared" si="4"/>
        <v>0</v>
      </c>
      <c r="O23" s="105"/>
      <c r="P23" s="102">
        <f t="shared" si="8"/>
        <v>0</v>
      </c>
      <c r="Q23" s="148">
        <v>0</v>
      </c>
      <c r="R23" s="148">
        <v>0</v>
      </c>
      <c r="S23" s="148">
        <v>0</v>
      </c>
    </row>
    <row r="24" spans="1:19" s="22" customFormat="1" ht="19.5" customHeight="1">
      <c r="A24" s="59">
        <v>11</v>
      </c>
      <c r="B24" s="69" t="s">
        <v>363</v>
      </c>
      <c r="C24" s="101">
        <f t="shared" si="1"/>
        <v>3218</v>
      </c>
      <c r="D24" s="28">
        <v>1106</v>
      </c>
      <c r="E24" s="28">
        <v>2112</v>
      </c>
      <c r="F24" s="101">
        <f t="shared" si="2"/>
        <v>3218</v>
      </c>
      <c r="G24" s="98">
        <v>1106</v>
      </c>
      <c r="H24" s="28">
        <v>2112</v>
      </c>
      <c r="I24" s="101">
        <f t="shared" si="3"/>
        <v>3161</v>
      </c>
      <c r="J24" s="98">
        <v>1057</v>
      </c>
      <c r="K24" s="34">
        <v>2104</v>
      </c>
      <c r="L24" s="148">
        <v>0</v>
      </c>
      <c r="M24" s="148">
        <v>8</v>
      </c>
      <c r="N24" s="101">
        <f t="shared" si="4"/>
        <v>0</v>
      </c>
      <c r="O24" s="105">
        <v>0</v>
      </c>
      <c r="P24" s="102">
        <f t="shared" si="8"/>
        <v>0</v>
      </c>
      <c r="Q24" s="148">
        <v>0</v>
      </c>
      <c r="R24" s="148">
        <v>0</v>
      </c>
      <c r="S24" s="148">
        <v>0</v>
      </c>
    </row>
    <row r="25" spans="1:20" s="22" customFormat="1" ht="19.5" customHeight="1">
      <c r="A25" s="59">
        <v>12</v>
      </c>
      <c r="B25" s="69" t="s">
        <v>364</v>
      </c>
      <c r="C25" s="101">
        <f t="shared" si="1"/>
        <v>1360</v>
      </c>
      <c r="D25" s="28">
        <v>583</v>
      </c>
      <c r="E25" s="144">
        <v>777</v>
      </c>
      <c r="F25" s="101">
        <f t="shared" si="2"/>
        <v>1360</v>
      </c>
      <c r="G25" s="28">
        <v>583</v>
      </c>
      <c r="H25" s="28">
        <v>777</v>
      </c>
      <c r="I25" s="101">
        <f t="shared" si="3"/>
        <v>1334</v>
      </c>
      <c r="J25" s="28">
        <v>572</v>
      </c>
      <c r="K25" s="14">
        <v>762</v>
      </c>
      <c r="L25" s="148">
        <v>0</v>
      </c>
      <c r="M25" s="148">
        <v>15</v>
      </c>
      <c r="N25" s="101">
        <f t="shared" si="4"/>
        <v>3</v>
      </c>
      <c r="O25" s="105">
        <v>1</v>
      </c>
      <c r="P25" s="102">
        <f t="shared" si="8"/>
        <v>2</v>
      </c>
      <c r="Q25" s="148">
        <v>2</v>
      </c>
      <c r="R25" s="148">
        <v>0</v>
      </c>
      <c r="S25" s="148"/>
      <c r="T25" s="66" t="s">
        <v>467</v>
      </c>
    </row>
    <row r="26" spans="1:19" s="22" customFormat="1" ht="19.5" customHeight="1">
      <c r="A26" s="59">
        <v>13</v>
      </c>
      <c r="B26" s="69" t="s">
        <v>365</v>
      </c>
      <c r="C26" s="101">
        <f t="shared" si="1"/>
        <v>1746</v>
      </c>
      <c r="D26" s="92">
        <f t="shared" si="5"/>
        <v>582</v>
      </c>
      <c r="E26" s="28">
        <v>1164</v>
      </c>
      <c r="F26" s="101">
        <f t="shared" si="2"/>
        <v>1708</v>
      </c>
      <c r="G26" s="92">
        <v>569</v>
      </c>
      <c r="H26" s="28">
        <v>1139</v>
      </c>
      <c r="I26" s="101">
        <f t="shared" si="3"/>
        <v>1701</v>
      </c>
      <c r="J26" s="92">
        <f t="shared" si="7"/>
        <v>567</v>
      </c>
      <c r="K26" s="34">
        <v>1134</v>
      </c>
      <c r="L26" s="148"/>
      <c r="M26" s="148">
        <v>5</v>
      </c>
      <c r="N26" s="101">
        <f t="shared" si="4"/>
        <v>0</v>
      </c>
      <c r="O26" s="105"/>
      <c r="P26" s="102">
        <f t="shared" si="8"/>
        <v>0</v>
      </c>
      <c r="Q26" s="148">
        <v>0</v>
      </c>
      <c r="R26" s="148">
        <v>0</v>
      </c>
      <c r="S26" s="148">
        <v>0</v>
      </c>
    </row>
    <row r="27" spans="1:21" s="36" customFormat="1" ht="19.5" customHeight="1">
      <c r="A27" s="59">
        <v>14</v>
      </c>
      <c r="B27" s="69" t="s">
        <v>366</v>
      </c>
      <c r="C27" s="101">
        <f t="shared" si="1"/>
        <v>193</v>
      </c>
      <c r="D27" s="92">
        <v>64</v>
      </c>
      <c r="E27" s="28">
        <v>129</v>
      </c>
      <c r="F27" s="101">
        <f t="shared" si="2"/>
        <v>193</v>
      </c>
      <c r="G27" s="92">
        <v>64</v>
      </c>
      <c r="H27" s="28">
        <v>129</v>
      </c>
      <c r="I27" s="101">
        <f t="shared" si="3"/>
        <v>193</v>
      </c>
      <c r="J27" s="92">
        <v>64</v>
      </c>
      <c r="K27" s="34">
        <v>129</v>
      </c>
      <c r="L27" s="148">
        <v>0</v>
      </c>
      <c r="M27" s="148">
        <v>0</v>
      </c>
      <c r="N27" s="101">
        <f t="shared" si="4"/>
        <v>0</v>
      </c>
      <c r="O27" s="105">
        <v>0</v>
      </c>
      <c r="P27" s="102">
        <f t="shared" si="8"/>
        <v>0</v>
      </c>
      <c r="Q27" s="148">
        <v>0</v>
      </c>
      <c r="R27" s="148">
        <v>0</v>
      </c>
      <c r="S27" s="148">
        <v>0</v>
      </c>
      <c r="T27" s="35"/>
      <c r="U27" s="35"/>
    </row>
    <row r="28" spans="1:19" s="11" customFormat="1" ht="19.5" customHeight="1">
      <c r="A28" s="59">
        <v>15</v>
      </c>
      <c r="B28" s="99" t="s">
        <v>367</v>
      </c>
      <c r="C28" s="101">
        <f t="shared" si="1"/>
        <v>0</v>
      </c>
      <c r="D28" s="92">
        <f t="shared" si="5"/>
        <v>0</v>
      </c>
      <c r="E28" s="28"/>
      <c r="F28" s="101">
        <f t="shared" si="2"/>
        <v>0</v>
      </c>
      <c r="G28" s="92">
        <f t="shared" si="6"/>
        <v>0</v>
      </c>
      <c r="H28" s="28"/>
      <c r="I28" s="101">
        <f t="shared" si="3"/>
        <v>0</v>
      </c>
      <c r="J28" s="92">
        <f t="shared" si="7"/>
        <v>0</v>
      </c>
      <c r="K28" s="34"/>
      <c r="L28" s="148"/>
      <c r="M28" s="148"/>
      <c r="N28" s="101">
        <f t="shared" si="4"/>
        <v>0</v>
      </c>
      <c r="O28" s="105"/>
      <c r="P28" s="102">
        <f t="shared" si="8"/>
        <v>0</v>
      </c>
      <c r="Q28" s="148"/>
      <c r="R28" s="148"/>
      <c r="S28" s="148"/>
    </row>
    <row r="29" spans="1:21" s="11" customFormat="1" ht="19.5" customHeight="1">
      <c r="A29" s="59">
        <v>16</v>
      </c>
      <c r="B29" s="69" t="s">
        <v>368</v>
      </c>
      <c r="C29" s="101">
        <f t="shared" si="1"/>
        <v>727</v>
      </c>
      <c r="D29" s="92">
        <v>242</v>
      </c>
      <c r="E29" s="28">
        <v>485</v>
      </c>
      <c r="F29" s="101">
        <f t="shared" si="2"/>
        <v>727</v>
      </c>
      <c r="G29" s="92">
        <v>242</v>
      </c>
      <c r="H29" s="28">
        <v>485</v>
      </c>
      <c r="I29" s="101">
        <f t="shared" si="3"/>
        <v>675</v>
      </c>
      <c r="J29" s="92">
        <f t="shared" si="7"/>
        <v>225</v>
      </c>
      <c r="K29" s="34">
        <v>450</v>
      </c>
      <c r="L29" s="148">
        <v>0</v>
      </c>
      <c r="M29" s="148">
        <v>35</v>
      </c>
      <c r="N29" s="101">
        <f t="shared" si="4"/>
        <v>0</v>
      </c>
      <c r="O29" s="105"/>
      <c r="P29" s="102">
        <f t="shared" si="8"/>
        <v>0</v>
      </c>
      <c r="Q29" s="148">
        <v>0</v>
      </c>
      <c r="R29" s="148">
        <v>0</v>
      </c>
      <c r="S29" s="148">
        <v>0</v>
      </c>
      <c r="T29" s="37"/>
      <c r="U29" s="37"/>
    </row>
    <row r="30" spans="1:19" s="11" customFormat="1" ht="19.5" customHeight="1">
      <c r="A30" s="59">
        <v>17</v>
      </c>
      <c r="B30" s="69" t="s">
        <v>369</v>
      </c>
      <c r="C30" s="101">
        <f t="shared" si="1"/>
        <v>312</v>
      </c>
      <c r="D30" s="92">
        <f t="shared" si="5"/>
        <v>104</v>
      </c>
      <c r="E30" s="28">
        <v>208</v>
      </c>
      <c r="F30" s="101">
        <f t="shared" si="2"/>
        <v>312</v>
      </c>
      <c r="G30" s="92">
        <f t="shared" si="6"/>
        <v>104</v>
      </c>
      <c r="H30" s="28">
        <v>208</v>
      </c>
      <c r="I30" s="101">
        <f t="shared" si="3"/>
        <v>265</v>
      </c>
      <c r="J30" s="28">
        <v>101</v>
      </c>
      <c r="K30" s="34">
        <v>164</v>
      </c>
      <c r="L30" s="148">
        <v>0</v>
      </c>
      <c r="M30" s="148">
        <v>44</v>
      </c>
      <c r="N30" s="101">
        <f t="shared" si="4"/>
        <v>0</v>
      </c>
      <c r="O30" s="105"/>
      <c r="P30" s="102">
        <f t="shared" si="8"/>
        <v>0</v>
      </c>
      <c r="Q30" s="148">
        <v>0</v>
      </c>
      <c r="R30" s="148">
        <v>0</v>
      </c>
      <c r="S30" s="148">
        <v>0</v>
      </c>
    </row>
    <row r="31" spans="1:21" s="22" customFormat="1" ht="19.5" customHeight="1">
      <c r="A31" s="59">
        <v>18</v>
      </c>
      <c r="B31" s="69" t="s">
        <v>370</v>
      </c>
      <c r="C31" s="101">
        <f t="shared" si="1"/>
        <v>705</v>
      </c>
      <c r="D31" s="92">
        <v>234</v>
      </c>
      <c r="E31" s="28">
        <v>471</v>
      </c>
      <c r="F31" s="101">
        <f t="shared" si="2"/>
        <v>661</v>
      </c>
      <c r="G31" s="92">
        <v>220</v>
      </c>
      <c r="H31" s="28">
        <v>441</v>
      </c>
      <c r="I31" s="101">
        <f t="shared" si="3"/>
        <v>630</v>
      </c>
      <c r="J31" s="92">
        <f t="shared" si="7"/>
        <v>210</v>
      </c>
      <c r="K31" s="14">
        <v>420</v>
      </c>
      <c r="L31" s="148">
        <v>0</v>
      </c>
      <c r="M31" s="148">
        <v>21</v>
      </c>
      <c r="N31" s="101">
        <f t="shared" si="4"/>
        <v>6</v>
      </c>
      <c r="O31" s="105">
        <v>2</v>
      </c>
      <c r="P31" s="102">
        <f t="shared" si="8"/>
        <v>4</v>
      </c>
      <c r="Q31" s="148">
        <v>3</v>
      </c>
      <c r="R31" s="148">
        <v>1</v>
      </c>
      <c r="S31" s="148"/>
      <c r="T31" s="40" t="s">
        <v>469</v>
      </c>
      <c r="U31" s="40" t="s">
        <v>469</v>
      </c>
    </row>
    <row r="32" spans="1:21" s="22" customFormat="1" ht="19.5" customHeight="1">
      <c r="A32" s="59">
        <v>19</v>
      </c>
      <c r="B32" s="70" t="s">
        <v>371</v>
      </c>
      <c r="C32" s="101">
        <f t="shared" si="1"/>
        <v>631.5</v>
      </c>
      <c r="D32" s="92">
        <f t="shared" si="5"/>
        <v>210.5</v>
      </c>
      <c r="E32" s="28">
        <v>421</v>
      </c>
      <c r="F32" s="101">
        <f t="shared" si="2"/>
        <v>634</v>
      </c>
      <c r="G32" s="92">
        <v>211</v>
      </c>
      <c r="H32" s="144">
        <v>423</v>
      </c>
      <c r="I32" s="101">
        <f t="shared" si="3"/>
        <v>615</v>
      </c>
      <c r="J32" s="92">
        <f t="shared" si="7"/>
        <v>205</v>
      </c>
      <c r="K32" s="34">
        <v>410</v>
      </c>
      <c r="L32" s="148">
        <v>0</v>
      </c>
      <c r="M32" s="148">
        <v>13</v>
      </c>
      <c r="N32" s="101">
        <f t="shared" si="4"/>
        <v>0</v>
      </c>
      <c r="O32" s="105"/>
      <c r="P32" s="102">
        <f t="shared" si="8"/>
        <v>0</v>
      </c>
      <c r="Q32" s="148">
        <v>0</v>
      </c>
      <c r="R32" s="148">
        <v>0</v>
      </c>
      <c r="S32" s="148">
        <v>0</v>
      </c>
      <c r="U32" s="66" t="s">
        <v>477</v>
      </c>
    </row>
    <row r="33" spans="1:19" s="22" customFormat="1" ht="19.5" customHeight="1">
      <c r="A33" s="59">
        <v>20</v>
      </c>
      <c r="B33" s="70" t="s">
        <v>372</v>
      </c>
      <c r="C33" s="101">
        <f t="shared" si="1"/>
        <v>1396</v>
      </c>
      <c r="D33" s="92">
        <v>465</v>
      </c>
      <c r="E33" s="28">
        <v>931</v>
      </c>
      <c r="F33" s="101">
        <f t="shared" si="2"/>
        <v>1366</v>
      </c>
      <c r="G33" s="92">
        <v>455</v>
      </c>
      <c r="H33" s="28">
        <v>911</v>
      </c>
      <c r="I33" s="101">
        <f t="shared" si="3"/>
        <v>1269</v>
      </c>
      <c r="J33" s="92">
        <f t="shared" si="7"/>
        <v>423</v>
      </c>
      <c r="K33" s="34">
        <v>846</v>
      </c>
      <c r="L33" s="148">
        <v>1</v>
      </c>
      <c r="M33" s="148">
        <v>64</v>
      </c>
      <c r="N33" s="101">
        <f t="shared" si="4"/>
        <v>0</v>
      </c>
      <c r="O33" s="105"/>
      <c r="P33" s="102">
        <f t="shared" si="8"/>
        <v>0</v>
      </c>
      <c r="Q33" s="148">
        <v>0</v>
      </c>
      <c r="R33" s="148">
        <v>0</v>
      </c>
      <c r="S33" s="148">
        <v>0</v>
      </c>
    </row>
    <row r="34" spans="1:19" s="22" customFormat="1" ht="19.5" customHeight="1">
      <c r="A34" s="59">
        <v>21</v>
      </c>
      <c r="B34" s="70" t="s">
        <v>373</v>
      </c>
      <c r="C34" s="101">
        <f t="shared" si="1"/>
        <v>546</v>
      </c>
      <c r="D34" s="92">
        <f t="shared" si="5"/>
        <v>182</v>
      </c>
      <c r="E34" s="28">
        <v>364</v>
      </c>
      <c r="F34" s="101">
        <f t="shared" si="2"/>
        <v>546</v>
      </c>
      <c r="G34" s="92">
        <f t="shared" si="6"/>
        <v>182</v>
      </c>
      <c r="H34" s="28">
        <v>364</v>
      </c>
      <c r="I34" s="101">
        <f t="shared" si="3"/>
        <v>300</v>
      </c>
      <c r="J34" s="28">
        <v>64</v>
      </c>
      <c r="K34" s="34">
        <v>236</v>
      </c>
      <c r="L34" s="148">
        <v>0</v>
      </c>
      <c r="M34" s="148">
        <v>128</v>
      </c>
      <c r="N34" s="101">
        <f t="shared" si="4"/>
        <v>0</v>
      </c>
      <c r="O34" s="105"/>
      <c r="P34" s="102">
        <f t="shared" si="8"/>
        <v>0</v>
      </c>
      <c r="Q34" s="148">
        <v>0</v>
      </c>
      <c r="R34" s="148">
        <v>0</v>
      </c>
      <c r="S34" s="148">
        <v>0</v>
      </c>
    </row>
    <row r="35" spans="1:21" s="22" customFormat="1" ht="19.5" customHeight="1">
      <c r="A35" s="59">
        <v>22</v>
      </c>
      <c r="B35" s="70" t="s">
        <v>374</v>
      </c>
      <c r="C35" s="101">
        <f t="shared" si="1"/>
        <v>597</v>
      </c>
      <c r="D35" s="92">
        <f t="shared" si="5"/>
        <v>199</v>
      </c>
      <c r="E35" s="28">
        <v>398</v>
      </c>
      <c r="F35" s="74">
        <f t="shared" si="2"/>
        <v>596</v>
      </c>
      <c r="G35" s="92">
        <v>198</v>
      </c>
      <c r="H35" s="93">
        <v>398</v>
      </c>
      <c r="I35" s="74">
        <f t="shared" si="3"/>
        <v>0</v>
      </c>
      <c r="J35" s="147">
        <v>0</v>
      </c>
      <c r="K35" s="94">
        <v>0</v>
      </c>
      <c r="L35" s="150">
        <v>0</v>
      </c>
      <c r="M35" s="150">
        <v>0</v>
      </c>
      <c r="N35" s="101">
        <f t="shared" si="4"/>
        <v>0</v>
      </c>
      <c r="O35" s="105">
        <v>0</v>
      </c>
      <c r="P35" s="102">
        <f t="shared" si="8"/>
        <v>0</v>
      </c>
      <c r="Q35" s="148">
        <v>0</v>
      </c>
      <c r="R35" s="148">
        <v>0</v>
      </c>
      <c r="S35" s="148">
        <v>0</v>
      </c>
      <c r="U35" s="22" t="s">
        <v>497</v>
      </c>
    </row>
    <row r="36" spans="1:19" s="22" customFormat="1" ht="19.5" customHeight="1">
      <c r="A36" s="59">
        <v>23</v>
      </c>
      <c r="B36" s="70" t="s">
        <v>375</v>
      </c>
      <c r="C36" s="101">
        <f t="shared" si="1"/>
        <v>566</v>
      </c>
      <c r="D36" s="28">
        <v>200</v>
      </c>
      <c r="E36" s="28">
        <v>366</v>
      </c>
      <c r="F36" s="101">
        <f t="shared" si="2"/>
        <v>566</v>
      </c>
      <c r="G36" s="28">
        <v>200</v>
      </c>
      <c r="H36" s="28">
        <v>366</v>
      </c>
      <c r="I36" s="101">
        <f t="shared" si="3"/>
        <v>566</v>
      </c>
      <c r="J36" s="28">
        <v>200</v>
      </c>
      <c r="K36" s="34">
        <v>366</v>
      </c>
      <c r="L36" s="148"/>
      <c r="M36" s="148"/>
      <c r="N36" s="101">
        <f t="shared" si="4"/>
        <v>35</v>
      </c>
      <c r="O36" s="105">
        <v>15</v>
      </c>
      <c r="P36" s="102">
        <f t="shared" si="8"/>
        <v>20</v>
      </c>
      <c r="Q36" s="148">
        <v>20</v>
      </c>
      <c r="R36" s="148">
        <v>0</v>
      </c>
      <c r="S36" s="148">
        <v>0</v>
      </c>
    </row>
    <row r="37" spans="1:19" s="38" customFormat="1" ht="19.5" customHeight="1">
      <c r="A37" s="59">
        <v>24</v>
      </c>
      <c r="B37" s="70" t="s">
        <v>376</v>
      </c>
      <c r="C37" s="101">
        <f t="shared" si="1"/>
        <v>606</v>
      </c>
      <c r="D37" s="92">
        <f t="shared" si="5"/>
        <v>202</v>
      </c>
      <c r="E37" s="28">
        <v>404</v>
      </c>
      <c r="F37" s="101">
        <f t="shared" si="2"/>
        <v>885</v>
      </c>
      <c r="G37" s="145">
        <f t="shared" si="6"/>
        <v>295</v>
      </c>
      <c r="H37" s="28">
        <v>590</v>
      </c>
      <c r="I37" s="101">
        <f t="shared" si="3"/>
        <v>741</v>
      </c>
      <c r="J37" s="145">
        <f t="shared" si="7"/>
        <v>247</v>
      </c>
      <c r="K37" s="14">
        <v>494</v>
      </c>
      <c r="L37" s="148">
        <v>0</v>
      </c>
      <c r="M37" s="148">
        <v>96</v>
      </c>
      <c r="N37" s="101">
        <f t="shared" si="4"/>
        <v>4</v>
      </c>
      <c r="O37" s="105"/>
      <c r="P37" s="102">
        <f t="shared" si="8"/>
        <v>4</v>
      </c>
      <c r="Q37" s="148">
        <v>4</v>
      </c>
      <c r="R37" s="148">
        <v>0</v>
      </c>
      <c r="S37" s="148">
        <v>0</v>
      </c>
    </row>
    <row r="38" spans="1:19" s="22" customFormat="1" ht="19.5" customHeight="1">
      <c r="A38" s="59">
        <v>25</v>
      </c>
      <c r="B38" s="70" t="s">
        <v>377</v>
      </c>
      <c r="C38" s="101">
        <f t="shared" si="1"/>
        <v>648</v>
      </c>
      <c r="D38" s="92">
        <f t="shared" si="5"/>
        <v>216</v>
      </c>
      <c r="E38" s="28">
        <v>432</v>
      </c>
      <c r="F38" s="101">
        <f t="shared" si="2"/>
        <v>648</v>
      </c>
      <c r="G38" s="92">
        <f t="shared" si="6"/>
        <v>216</v>
      </c>
      <c r="H38" s="28">
        <v>432</v>
      </c>
      <c r="I38" s="101">
        <f t="shared" si="3"/>
        <v>637.5</v>
      </c>
      <c r="J38" s="92">
        <f t="shared" si="7"/>
        <v>212.5</v>
      </c>
      <c r="K38" s="34">
        <v>425</v>
      </c>
      <c r="L38" s="148">
        <v>1</v>
      </c>
      <c r="M38" s="148">
        <v>6</v>
      </c>
      <c r="N38" s="101">
        <f t="shared" si="4"/>
        <v>0</v>
      </c>
      <c r="O38" s="105"/>
      <c r="P38" s="102">
        <f t="shared" si="8"/>
        <v>0</v>
      </c>
      <c r="Q38" s="148">
        <v>0</v>
      </c>
      <c r="R38" s="148">
        <v>0</v>
      </c>
      <c r="S38" s="148">
        <v>0</v>
      </c>
    </row>
    <row r="39" spans="1:20" s="22" customFormat="1" ht="19.5" customHeight="1">
      <c r="A39" s="59">
        <v>26</v>
      </c>
      <c r="B39" s="70" t="s">
        <v>378</v>
      </c>
      <c r="C39" s="101">
        <f t="shared" si="1"/>
        <v>1573</v>
      </c>
      <c r="D39" s="28">
        <v>393</v>
      </c>
      <c r="E39" s="144">
        <v>1180</v>
      </c>
      <c r="F39" s="101">
        <f t="shared" si="2"/>
        <v>1573</v>
      </c>
      <c r="G39" s="28">
        <v>393</v>
      </c>
      <c r="H39" s="28">
        <v>1180</v>
      </c>
      <c r="I39" s="101">
        <f t="shared" si="3"/>
        <v>1573</v>
      </c>
      <c r="J39" s="28">
        <v>393</v>
      </c>
      <c r="K39" s="34">
        <v>1180</v>
      </c>
      <c r="L39" s="148">
        <v>0</v>
      </c>
      <c r="M39" s="148">
        <v>0</v>
      </c>
      <c r="N39" s="101">
        <f t="shared" si="4"/>
        <v>0</v>
      </c>
      <c r="O39" s="105"/>
      <c r="P39" s="102">
        <f t="shared" si="8"/>
        <v>0</v>
      </c>
      <c r="Q39" s="148">
        <v>0</v>
      </c>
      <c r="R39" s="148">
        <v>0</v>
      </c>
      <c r="S39" s="148">
        <v>0</v>
      </c>
      <c r="T39" s="66" t="s">
        <v>470</v>
      </c>
    </row>
    <row r="40" spans="1:19" s="22" customFormat="1" ht="19.5" customHeight="1">
      <c r="A40" s="59">
        <v>27</v>
      </c>
      <c r="B40" s="70" t="s">
        <v>379</v>
      </c>
      <c r="C40" s="101">
        <f t="shared" si="1"/>
        <v>304.5</v>
      </c>
      <c r="D40" s="92">
        <f t="shared" si="5"/>
        <v>101.5</v>
      </c>
      <c r="E40" s="28">
        <v>203</v>
      </c>
      <c r="F40" s="101">
        <f t="shared" si="2"/>
        <v>315</v>
      </c>
      <c r="G40" s="92">
        <f t="shared" si="6"/>
        <v>105</v>
      </c>
      <c r="H40" s="28">
        <v>210</v>
      </c>
      <c r="I40" s="101">
        <f t="shared" si="3"/>
        <v>273</v>
      </c>
      <c r="J40" s="145">
        <f t="shared" si="7"/>
        <v>91</v>
      </c>
      <c r="K40" s="34">
        <v>182</v>
      </c>
      <c r="L40" s="148">
        <v>0</v>
      </c>
      <c r="M40" s="148">
        <v>28</v>
      </c>
      <c r="N40" s="101">
        <f t="shared" si="4"/>
        <v>2</v>
      </c>
      <c r="O40" s="105">
        <v>1</v>
      </c>
      <c r="P40" s="102">
        <f t="shared" si="8"/>
        <v>1</v>
      </c>
      <c r="Q40" s="148">
        <v>1</v>
      </c>
      <c r="R40" s="148"/>
      <c r="S40" s="148"/>
    </row>
    <row r="41" spans="1:19" s="22" customFormat="1" ht="19.5" customHeight="1">
      <c r="A41" s="59">
        <v>28</v>
      </c>
      <c r="B41" s="70" t="s">
        <v>380</v>
      </c>
      <c r="C41" s="101">
        <f t="shared" si="1"/>
        <v>1122</v>
      </c>
      <c r="D41" s="92">
        <f t="shared" si="5"/>
        <v>374</v>
      </c>
      <c r="E41" s="28">
        <v>748</v>
      </c>
      <c r="F41" s="101">
        <f t="shared" si="2"/>
        <v>280.5</v>
      </c>
      <c r="G41" s="92">
        <f t="shared" si="6"/>
        <v>93.5</v>
      </c>
      <c r="H41" s="28">
        <v>187</v>
      </c>
      <c r="I41" s="101">
        <f t="shared" si="3"/>
        <v>273</v>
      </c>
      <c r="J41" s="145">
        <f t="shared" si="7"/>
        <v>91</v>
      </c>
      <c r="K41" s="34">
        <v>182</v>
      </c>
      <c r="L41" s="148">
        <v>0</v>
      </c>
      <c r="M41" s="148">
        <v>5</v>
      </c>
      <c r="N41" s="101">
        <f t="shared" si="4"/>
        <v>0</v>
      </c>
      <c r="O41" s="105"/>
      <c r="P41" s="102">
        <f t="shared" si="8"/>
        <v>0</v>
      </c>
      <c r="Q41" s="148">
        <v>0</v>
      </c>
      <c r="R41" s="148">
        <v>0</v>
      </c>
      <c r="S41" s="148">
        <v>0</v>
      </c>
    </row>
    <row r="42" spans="1:19" s="22" customFormat="1" ht="19.5" customHeight="1">
      <c r="A42" s="59">
        <v>29</v>
      </c>
      <c r="B42" s="70" t="s">
        <v>381</v>
      </c>
      <c r="C42" s="101">
        <f t="shared" si="1"/>
        <v>1678.5</v>
      </c>
      <c r="D42" s="92">
        <f t="shared" si="5"/>
        <v>559.5</v>
      </c>
      <c r="E42" s="28">
        <v>1119</v>
      </c>
      <c r="F42" s="101">
        <f t="shared" si="2"/>
        <v>1729.5</v>
      </c>
      <c r="G42" s="92">
        <f t="shared" si="6"/>
        <v>576.5</v>
      </c>
      <c r="H42" s="28">
        <v>1153</v>
      </c>
      <c r="I42" s="101">
        <f t="shared" si="3"/>
        <v>1686</v>
      </c>
      <c r="J42" s="92">
        <f t="shared" si="7"/>
        <v>562</v>
      </c>
      <c r="K42" s="34">
        <v>1124</v>
      </c>
      <c r="L42" s="148">
        <v>1</v>
      </c>
      <c r="M42" s="148">
        <v>28</v>
      </c>
      <c r="N42" s="101">
        <f t="shared" si="4"/>
        <v>0</v>
      </c>
      <c r="O42" s="105"/>
      <c r="P42" s="102">
        <f t="shared" si="8"/>
        <v>0</v>
      </c>
      <c r="Q42" s="148">
        <v>0</v>
      </c>
      <c r="R42" s="148">
        <v>0</v>
      </c>
      <c r="S42" s="148">
        <v>0</v>
      </c>
    </row>
    <row r="43" spans="1:20" s="22" customFormat="1" ht="19.5" customHeight="1">
      <c r="A43" s="59">
        <v>30</v>
      </c>
      <c r="B43" s="70" t="s">
        <v>382</v>
      </c>
      <c r="C43" s="101">
        <f t="shared" si="1"/>
        <v>126</v>
      </c>
      <c r="D43" s="92">
        <f t="shared" si="5"/>
        <v>42</v>
      </c>
      <c r="E43" s="144">
        <v>84</v>
      </c>
      <c r="F43" s="101">
        <f t="shared" si="2"/>
        <v>163</v>
      </c>
      <c r="G43" s="92">
        <v>54</v>
      </c>
      <c r="H43" s="28">
        <v>109</v>
      </c>
      <c r="I43" s="101">
        <f t="shared" si="3"/>
        <v>120</v>
      </c>
      <c r="J43" s="92">
        <f t="shared" si="7"/>
        <v>40</v>
      </c>
      <c r="K43" s="14">
        <v>80</v>
      </c>
      <c r="L43" s="148">
        <v>0</v>
      </c>
      <c r="M43" s="148">
        <v>29</v>
      </c>
      <c r="N43" s="101">
        <f t="shared" si="4"/>
        <v>0</v>
      </c>
      <c r="O43" s="105">
        <v>0</v>
      </c>
      <c r="P43" s="102">
        <f t="shared" si="8"/>
        <v>0</v>
      </c>
      <c r="Q43" s="148">
        <v>0</v>
      </c>
      <c r="R43" s="148">
        <v>0</v>
      </c>
      <c r="S43" s="148">
        <v>0</v>
      </c>
      <c r="T43" s="66" t="s">
        <v>471</v>
      </c>
    </row>
    <row r="44" spans="1:19" s="22" customFormat="1" ht="19.5" customHeight="1">
      <c r="A44" s="59">
        <v>31</v>
      </c>
      <c r="B44" s="70" t="s">
        <v>383</v>
      </c>
      <c r="C44" s="101">
        <f t="shared" si="1"/>
        <v>343.5</v>
      </c>
      <c r="D44" s="92">
        <f t="shared" si="5"/>
        <v>114.5</v>
      </c>
      <c r="E44" s="28">
        <v>229</v>
      </c>
      <c r="F44" s="101">
        <f t="shared" si="2"/>
        <v>337.5</v>
      </c>
      <c r="G44" s="92">
        <f t="shared" si="6"/>
        <v>112.5</v>
      </c>
      <c r="H44" s="28">
        <v>225</v>
      </c>
      <c r="I44" s="101">
        <f t="shared" si="3"/>
        <v>327</v>
      </c>
      <c r="J44" s="92">
        <f t="shared" si="7"/>
        <v>109</v>
      </c>
      <c r="K44" s="34">
        <v>218</v>
      </c>
      <c r="L44" s="148">
        <v>0</v>
      </c>
      <c r="M44" s="148">
        <v>7</v>
      </c>
      <c r="N44" s="101">
        <f t="shared" si="4"/>
        <v>2</v>
      </c>
      <c r="O44" s="105">
        <v>1</v>
      </c>
      <c r="P44" s="102">
        <f t="shared" si="8"/>
        <v>1</v>
      </c>
      <c r="Q44" s="148">
        <v>1</v>
      </c>
      <c r="R44" s="148">
        <v>0</v>
      </c>
      <c r="S44" s="148">
        <v>0</v>
      </c>
    </row>
    <row r="45" spans="1:19" s="22" customFormat="1" ht="19.5" customHeight="1">
      <c r="A45" s="59">
        <v>32</v>
      </c>
      <c r="B45" s="70" t="s">
        <v>384</v>
      </c>
      <c r="C45" s="101">
        <f t="shared" si="1"/>
        <v>2004</v>
      </c>
      <c r="D45" s="92">
        <f t="shared" si="5"/>
        <v>668</v>
      </c>
      <c r="E45" s="28">
        <v>1336</v>
      </c>
      <c r="F45" s="101">
        <f t="shared" si="2"/>
        <v>1992</v>
      </c>
      <c r="G45" s="92">
        <f t="shared" si="6"/>
        <v>664</v>
      </c>
      <c r="H45" s="28">
        <v>1328</v>
      </c>
      <c r="I45" s="101">
        <f t="shared" si="3"/>
        <v>1990</v>
      </c>
      <c r="J45" s="92">
        <v>663</v>
      </c>
      <c r="K45" s="34">
        <v>1327</v>
      </c>
      <c r="L45" s="148">
        <v>1</v>
      </c>
      <c r="M45" s="148">
        <v>0</v>
      </c>
      <c r="N45" s="101">
        <f t="shared" si="4"/>
        <v>0</v>
      </c>
      <c r="O45" s="105"/>
      <c r="P45" s="102">
        <f t="shared" si="8"/>
        <v>0</v>
      </c>
      <c r="Q45" s="148">
        <v>0</v>
      </c>
      <c r="R45" s="148">
        <v>0</v>
      </c>
      <c r="S45" s="148">
        <v>0</v>
      </c>
    </row>
    <row r="46" spans="1:21" s="22" customFormat="1" ht="19.5" customHeight="1">
      <c r="A46" s="59">
        <v>33</v>
      </c>
      <c r="B46" s="70" t="s">
        <v>385</v>
      </c>
      <c r="C46" s="101">
        <f t="shared" si="1"/>
        <v>765</v>
      </c>
      <c r="D46" s="92">
        <f t="shared" si="5"/>
        <v>255</v>
      </c>
      <c r="E46" s="28">
        <v>510</v>
      </c>
      <c r="F46" s="101">
        <f t="shared" si="2"/>
        <v>765</v>
      </c>
      <c r="G46" s="92">
        <f t="shared" si="6"/>
        <v>255</v>
      </c>
      <c r="H46" s="28">
        <v>510</v>
      </c>
      <c r="I46" s="101">
        <f t="shared" si="3"/>
        <v>762</v>
      </c>
      <c r="J46" s="92">
        <f t="shared" si="7"/>
        <v>254</v>
      </c>
      <c r="K46" s="34">
        <v>508</v>
      </c>
      <c r="L46" s="148">
        <v>0</v>
      </c>
      <c r="M46" s="148">
        <v>2</v>
      </c>
      <c r="N46" s="101">
        <f t="shared" si="4"/>
        <v>0</v>
      </c>
      <c r="O46" s="105">
        <v>0</v>
      </c>
      <c r="P46" s="102">
        <f t="shared" si="8"/>
        <v>0</v>
      </c>
      <c r="Q46" s="148">
        <v>0</v>
      </c>
      <c r="R46" s="148">
        <v>0</v>
      </c>
      <c r="S46" s="148">
        <v>0</v>
      </c>
      <c r="T46" s="40" t="s">
        <v>469</v>
      </c>
      <c r="U46" s="40" t="s">
        <v>469</v>
      </c>
    </row>
    <row r="47" spans="1:21" s="22" customFormat="1" ht="19.5" customHeight="1">
      <c r="A47" s="59">
        <v>34</v>
      </c>
      <c r="B47" s="70" t="s">
        <v>386</v>
      </c>
      <c r="C47" s="101">
        <f t="shared" si="1"/>
        <v>285</v>
      </c>
      <c r="D47" s="92">
        <f t="shared" si="5"/>
        <v>95</v>
      </c>
      <c r="E47" s="28">
        <v>190</v>
      </c>
      <c r="F47" s="107">
        <f t="shared" si="2"/>
        <v>285</v>
      </c>
      <c r="G47" s="92">
        <f t="shared" si="6"/>
        <v>95</v>
      </c>
      <c r="H47" s="28">
        <v>190</v>
      </c>
      <c r="I47" s="107">
        <f t="shared" si="3"/>
        <v>360</v>
      </c>
      <c r="J47" s="28">
        <v>180</v>
      </c>
      <c r="K47" s="34">
        <v>180</v>
      </c>
      <c r="L47" s="148"/>
      <c r="M47" s="148">
        <v>10</v>
      </c>
      <c r="N47" s="101">
        <f t="shared" si="4"/>
        <v>0</v>
      </c>
      <c r="O47" s="105"/>
      <c r="P47" s="102">
        <f t="shared" si="8"/>
        <v>0</v>
      </c>
      <c r="Q47" s="148">
        <v>0</v>
      </c>
      <c r="R47" s="148">
        <v>0</v>
      </c>
      <c r="S47" s="148">
        <v>0</v>
      </c>
      <c r="U47" s="22" t="s">
        <v>498</v>
      </c>
    </row>
    <row r="48" spans="1:19" s="39" customFormat="1" ht="19.5" customHeight="1">
      <c r="A48" s="59">
        <v>35</v>
      </c>
      <c r="B48" s="70" t="s">
        <v>387</v>
      </c>
      <c r="C48" s="101">
        <f t="shared" si="1"/>
        <v>1605</v>
      </c>
      <c r="D48" s="145">
        <f t="shared" si="5"/>
        <v>535</v>
      </c>
      <c r="E48" s="28">
        <v>1070</v>
      </c>
      <c r="F48" s="101">
        <f t="shared" si="2"/>
        <v>1605</v>
      </c>
      <c r="G48" s="145">
        <f t="shared" si="6"/>
        <v>535</v>
      </c>
      <c r="H48" s="28">
        <v>1070</v>
      </c>
      <c r="I48" s="101">
        <f t="shared" si="3"/>
        <v>1530</v>
      </c>
      <c r="J48" s="145">
        <f t="shared" si="7"/>
        <v>510</v>
      </c>
      <c r="K48" s="34">
        <v>1020</v>
      </c>
      <c r="L48" s="148">
        <v>0</v>
      </c>
      <c r="M48" s="148">
        <v>50</v>
      </c>
      <c r="N48" s="101">
        <f t="shared" si="4"/>
        <v>0</v>
      </c>
      <c r="O48" s="105"/>
      <c r="P48" s="102">
        <f t="shared" si="8"/>
        <v>0</v>
      </c>
      <c r="Q48" s="148">
        <v>0</v>
      </c>
      <c r="R48" s="148">
        <v>0</v>
      </c>
      <c r="S48" s="148">
        <v>0</v>
      </c>
    </row>
    <row r="49" spans="1:19" s="22" customFormat="1" ht="19.5" customHeight="1">
      <c r="A49" s="59">
        <v>36</v>
      </c>
      <c r="B49" s="77" t="s">
        <v>388</v>
      </c>
      <c r="C49" s="101">
        <f t="shared" si="1"/>
        <v>130.5</v>
      </c>
      <c r="D49" s="92">
        <f t="shared" si="5"/>
        <v>43.5</v>
      </c>
      <c r="E49" s="28">
        <v>87</v>
      </c>
      <c r="F49" s="101">
        <f t="shared" si="2"/>
        <v>130.5</v>
      </c>
      <c r="G49" s="92">
        <f t="shared" si="6"/>
        <v>43.5</v>
      </c>
      <c r="H49" s="28">
        <v>87</v>
      </c>
      <c r="I49" s="101">
        <f t="shared" si="3"/>
        <v>124.5</v>
      </c>
      <c r="J49" s="92">
        <f t="shared" si="7"/>
        <v>41.5</v>
      </c>
      <c r="K49" s="14">
        <v>83</v>
      </c>
      <c r="L49" s="148">
        <v>0</v>
      </c>
      <c r="M49" s="148">
        <v>4</v>
      </c>
      <c r="N49" s="101">
        <f t="shared" si="4"/>
        <v>0</v>
      </c>
      <c r="O49" s="105"/>
      <c r="P49" s="102">
        <f t="shared" si="8"/>
        <v>0</v>
      </c>
      <c r="Q49" s="148">
        <v>0</v>
      </c>
      <c r="R49" s="148">
        <v>0</v>
      </c>
      <c r="S49" s="148">
        <v>0</v>
      </c>
    </row>
    <row r="50" spans="1:21" s="22" customFormat="1" ht="19.5" customHeight="1">
      <c r="A50" s="59">
        <v>37</v>
      </c>
      <c r="B50" s="77" t="s">
        <v>389</v>
      </c>
      <c r="C50" s="101">
        <f t="shared" si="1"/>
        <v>960</v>
      </c>
      <c r="D50" s="93">
        <v>576</v>
      </c>
      <c r="E50" s="144">
        <v>384</v>
      </c>
      <c r="F50" s="101">
        <f t="shared" si="2"/>
        <v>960</v>
      </c>
      <c r="G50" s="92">
        <v>576</v>
      </c>
      <c r="H50" s="144">
        <v>384</v>
      </c>
      <c r="I50" s="101">
        <f t="shared" si="3"/>
        <v>945</v>
      </c>
      <c r="J50" s="144">
        <v>567</v>
      </c>
      <c r="K50" s="34">
        <v>378</v>
      </c>
      <c r="L50" s="148">
        <v>0</v>
      </c>
      <c r="M50" s="148">
        <v>6</v>
      </c>
      <c r="N50" s="101">
        <f t="shared" si="4"/>
        <v>0</v>
      </c>
      <c r="O50" s="105"/>
      <c r="P50" s="102">
        <f t="shared" si="8"/>
        <v>0</v>
      </c>
      <c r="Q50" s="148">
        <v>0</v>
      </c>
      <c r="R50" s="148">
        <v>0</v>
      </c>
      <c r="S50" s="148">
        <v>0</v>
      </c>
      <c r="T50" s="66" t="s">
        <v>496</v>
      </c>
      <c r="U50" s="66" t="s">
        <v>478</v>
      </c>
    </row>
    <row r="51" spans="1:21" s="40" customFormat="1" ht="19.5" customHeight="1">
      <c r="A51" s="59">
        <v>38</v>
      </c>
      <c r="B51" s="77" t="s">
        <v>390</v>
      </c>
      <c r="C51" s="101">
        <f t="shared" si="1"/>
        <v>174</v>
      </c>
      <c r="D51" s="92">
        <f t="shared" si="5"/>
        <v>58</v>
      </c>
      <c r="E51" s="28">
        <v>116</v>
      </c>
      <c r="F51" s="101">
        <f t="shared" si="2"/>
        <v>22.5</v>
      </c>
      <c r="G51" s="92">
        <f t="shared" si="6"/>
        <v>7.5</v>
      </c>
      <c r="H51" s="93">
        <v>15</v>
      </c>
      <c r="I51" s="101">
        <f t="shared" si="3"/>
        <v>1.5</v>
      </c>
      <c r="J51" s="92">
        <f t="shared" si="7"/>
        <v>0.5</v>
      </c>
      <c r="K51" s="94">
        <v>1</v>
      </c>
      <c r="L51" s="150"/>
      <c r="M51" s="150"/>
      <c r="N51" s="101">
        <f t="shared" si="4"/>
        <v>0</v>
      </c>
      <c r="O51" s="105"/>
      <c r="P51" s="102">
        <f t="shared" si="8"/>
        <v>0</v>
      </c>
      <c r="Q51" s="148">
        <v>0</v>
      </c>
      <c r="R51" s="148">
        <v>0</v>
      </c>
      <c r="S51" s="148">
        <v>0</v>
      </c>
      <c r="T51" s="66" t="s">
        <v>472</v>
      </c>
      <c r="U51" s="40" t="s">
        <v>499</v>
      </c>
    </row>
    <row r="52" spans="1:19" s="39" customFormat="1" ht="19.5" customHeight="1">
      <c r="A52" s="59">
        <v>39</v>
      </c>
      <c r="B52" s="77" t="s">
        <v>391</v>
      </c>
      <c r="C52" s="101">
        <f t="shared" si="1"/>
        <v>889</v>
      </c>
      <c r="D52" s="28">
        <v>373</v>
      </c>
      <c r="E52" s="28">
        <v>516</v>
      </c>
      <c r="F52" s="101">
        <f t="shared" si="2"/>
        <v>774</v>
      </c>
      <c r="G52" s="92">
        <f t="shared" si="6"/>
        <v>258</v>
      </c>
      <c r="H52" s="28">
        <v>516</v>
      </c>
      <c r="I52" s="101">
        <f t="shared" si="3"/>
        <v>750</v>
      </c>
      <c r="J52" s="92">
        <f t="shared" si="7"/>
        <v>250</v>
      </c>
      <c r="K52" s="34">
        <v>500</v>
      </c>
      <c r="L52" s="148"/>
      <c r="M52" s="148">
        <v>16</v>
      </c>
      <c r="N52" s="101">
        <f t="shared" si="4"/>
        <v>0</v>
      </c>
      <c r="O52" s="105"/>
      <c r="P52" s="102">
        <f t="shared" si="8"/>
        <v>0</v>
      </c>
      <c r="Q52" s="148">
        <v>0</v>
      </c>
      <c r="R52" s="148">
        <v>0</v>
      </c>
      <c r="S52" s="148">
        <v>0</v>
      </c>
    </row>
    <row r="53" spans="1:20" s="22" customFormat="1" ht="19.5" customHeight="1">
      <c r="A53" s="59">
        <v>40</v>
      </c>
      <c r="B53" s="77" t="s">
        <v>392</v>
      </c>
      <c r="C53" s="101">
        <f t="shared" si="1"/>
        <v>957</v>
      </c>
      <c r="D53" s="92">
        <f t="shared" si="5"/>
        <v>319</v>
      </c>
      <c r="E53" s="144">
        <v>638</v>
      </c>
      <c r="F53" s="101">
        <f t="shared" si="2"/>
        <v>957</v>
      </c>
      <c r="G53" s="92">
        <f t="shared" si="6"/>
        <v>319</v>
      </c>
      <c r="H53" s="28">
        <v>638</v>
      </c>
      <c r="I53" s="101">
        <f t="shared" si="3"/>
        <v>957</v>
      </c>
      <c r="J53" s="92">
        <f t="shared" si="7"/>
        <v>319</v>
      </c>
      <c r="K53" s="34">
        <v>638</v>
      </c>
      <c r="L53" s="148">
        <v>0</v>
      </c>
      <c r="M53" s="148">
        <v>0</v>
      </c>
      <c r="N53" s="101">
        <f t="shared" si="4"/>
        <v>23</v>
      </c>
      <c r="O53" s="105">
        <v>8</v>
      </c>
      <c r="P53" s="102">
        <f t="shared" si="8"/>
        <v>15</v>
      </c>
      <c r="Q53" s="148">
        <v>15</v>
      </c>
      <c r="R53" s="148">
        <v>0</v>
      </c>
      <c r="S53" s="148">
        <v>0</v>
      </c>
      <c r="T53" s="66" t="s">
        <v>473</v>
      </c>
    </row>
    <row r="54" spans="1:19" s="22" customFormat="1" ht="19.5" customHeight="1">
      <c r="A54" s="59">
        <v>41</v>
      </c>
      <c r="B54" s="77" t="s">
        <v>393</v>
      </c>
      <c r="C54" s="101">
        <f t="shared" si="1"/>
        <v>553</v>
      </c>
      <c r="D54" s="92">
        <v>184</v>
      </c>
      <c r="E54" s="28">
        <v>369</v>
      </c>
      <c r="F54" s="101">
        <f t="shared" si="2"/>
        <v>542</v>
      </c>
      <c r="G54" s="92">
        <v>180</v>
      </c>
      <c r="H54" s="28">
        <v>362</v>
      </c>
      <c r="I54" s="101">
        <f t="shared" si="3"/>
        <v>526</v>
      </c>
      <c r="J54" s="92">
        <v>175</v>
      </c>
      <c r="K54" s="34">
        <v>351</v>
      </c>
      <c r="L54" s="148">
        <v>0</v>
      </c>
      <c r="M54" s="148">
        <v>11</v>
      </c>
      <c r="N54" s="101">
        <f t="shared" si="4"/>
        <v>0</v>
      </c>
      <c r="O54" s="105"/>
      <c r="P54" s="102">
        <f t="shared" si="8"/>
        <v>0</v>
      </c>
      <c r="Q54" s="148">
        <v>0</v>
      </c>
      <c r="R54" s="148">
        <v>0</v>
      </c>
      <c r="S54" s="148">
        <v>0</v>
      </c>
    </row>
    <row r="55" spans="1:19" s="39" customFormat="1" ht="19.5" customHeight="1">
      <c r="A55" s="59">
        <v>42</v>
      </c>
      <c r="B55" s="77" t="s">
        <v>394</v>
      </c>
      <c r="C55" s="101">
        <f t="shared" si="1"/>
        <v>1453.5</v>
      </c>
      <c r="D55" s="92">
        <f t="shared" si="5"/>
        <v>484.5</v>
      </c>
      <c r="E55" s="28">
        <v>969</v>
      </c>
      <c r="F55" s="101">
        <f t="shared" si="2"/>
        <v>1453.5</v>
      </c>
      <c r="G55" s="92">
        <f t="shared" si="6"/>
        <v>484.5</v>
      </c>
      <c r="H55" s="28">
        <v>969</v>
      </c>
      <c r="I55" s="101">
        <f t="shared" si="3"/>
        <v>1431</v>
      </c>
      <c r="J55" s="92">
        <f t="shared" si="7"/>
        <v>477</v>
      </c>
      <c r="K55" s="14">
        <v>954</v>
      </c>
      <c r="L55" s="148">
        <v>0</v>
      </c>
      <c r="M55" s="148">
        <v>15</v>
      </c>
      <c r="N55" s="101">
        <f t="shared" si="4"/>
        <v>0</v>
      </c>
      <c r="O55" s="105"/>
      <c r="P55" s="102">
        <f t="shared" si="8"/>
        <v>0</v>
      </c>
      <c r="Q55" s="148">
        <v>0</v>
      </c>
      <c r="R55" s="148">
        <v>0</v>
      </c>
      <c r="S55" s="148">
        <v>0</v>
      </c>
    </row>
    <row r="56" spans="1:19" s="22" customFormat="1" ht="19.5" customHeight="1">
      <c r="A56" s="59">
        <v>43</v>
      </c>
      <c r="B56" s="77" t="s">
        <v>395</v>
      </c>
      <c r="C56" s="101">
        <f t="shared" si="1"/>
        <v>1594.5</v>
      </c>
      <c r="D56" s="92">
        <f t="shared" si="5"/>
        <v>531.5</v>
      </c>
      <c r="E56" s="28">
        <v>1063</v>
      </c>
      <c r="F56" s="101">
        <f t="shared" si="2"/>
        <v>1491</v>
      </c>
      <c r="G56" s="92">
        <f t="shared" si="6"/>
        <v>497</v>
      </c>
      <c r="H56" s="28">
        <v>994</v>
      </c>
      <c r="I56" s="101">
        <f t="shared" si="3"/>
        <v>1381.5</v>
      </c>
      <c r="J56" s="92">
        <f t="shared" si="7"/>
        <v>460.5</v>
      </c>
      <c r="K56" s="34">
        <v>921</v>
      </c>
      <c r="L56" s="148">
        <v>0</v>
      </c>
      <c r="M56" s="148">
        <v>73</v>
      </c>
      <c r="N56" s="101">
        <f t="shared" si="4"/>
        <v>0</v>
      </c>
      <c r="O56" s="105"/>
      <c r="P56" s="102">
        <f t="shared" si="8"/>
        <v>0</v>
      </c>
      <c r="Q56" s="148">
        <v>0</v>
      </c>
      <c r="R56" s="148">
        <v>0</v>
      </c>
      <c r="S56" s="148">
        <v>0</v>
      </c>
    </row>
    <row r="57" spans="1:20" s="22" customFormat="1" ht="19.5" customHeight="1">
      <c r="A57" s="59">
        <v>44</v>
      </c>
      <c r="B57" s="77" t="s">
        <v>396</v>
      </c>
      <c r="C57" s="101">
        <f t="shared" si="1"/>
        <v>451</v>
      </c>
      <c r="D57" s="92">
        <v>150</v>
      </c>
      <c r="E57" s="28">
        <v>301</v>
      </c>
      <c r="F57" s="101">
        <f t="shared" si="2"/>
        <v>802</v>
      </c>
      <c r="G57" s="92">
        <v>267</v>
      </c>
      <c r="H57" s="28">
        <v>535</v>
      </c>
      <c r="I57" s="101">
        <f t="shared" si="3"/>
        <v>505</v>
      </c>
      <c r="J57" s="92">
        <v>168</v>
      </c>
      <c r="K57" s="34">
        <v>337</v>
      </c>
      <c r="L57" s="148">
        <v>0</v>
      </c>
      <c r="M57" s="148">
        <v>198</v>
      </c>
      <c r="N57" s="101">
        <f t="shared" si="4"/>
        <v>0</v>
      </c>
      <c r="O57" s="105">
        <v>0</v>
      </c>
      <c r="P57" s="102">
        <f t="shared" si="8"/>
        <v>0</v>
      </c>
      <c r="Q57" s="148">
        <v>0</v>
      </c>
      <c r="R57" s="148">
        <v>0</v>
      </c>
      <c r="S57" s="148">
        <v>0</v>
      </c>
      <c r="T57" s="40" t="s">
        <v>474</v>
      </c>
    </row>
    <row r="58" spans="1:20" s="22" customFormat="1" ht="19.5" customHeight="1">
      <c r="A58" s="59">
        <v>45</v>
      </c>
      <c r="B58" s="78" t="s">
        <v>397</v>
      </c>
      <c r="C58" s="101">
        <f>D58+E58</f>
        <v>645</v>
      </c>
      <c r="D58" s="92">
        <f t="shared" si="5"/>
        <v>215</v>
      </c>
      <c r="E58" s="28">
        <v>430</v>
      </c>
      <c r="F58" s="101">
        <f t="shared" si="2"/>
        <v>752</v>
      </c>
      <c r="G58" s="28">
        <v>251</v>
      </c>
      <c r="H58" s="28">
        <v>501</v>
      </c>
      <c r="I58" s="101">
        <f t="shared" si="3"/>
        <v>666</v>
      </c>
      <c r="J58" s="92">
        <f t="shared" si="7"/>
        <v>222</v>
      </c>
      <c r="K58" s="34">
        <v>444</v>
      </c>
      <c r="L58" s="148">
        <v>0</v>
      </c>
      <c r="M58" s="148">
        <v>57</v>
      </c>
      <c r="N58" s="101">
        <f t="shared" si="4"/>
        <v>0</v>
      </c>
      <c r="O58" s="105"/>
      <c r="P58" s="102">
        <f t="shared" si="8"/>
        <v>0</v>
      </c>
      <c r="Q58" s="148">
        <v>0</v>
      </c>
      <c r="R58" s="148">
        <v>0</v>
      </c>
      <c r="S58" s="148">
        <v>0</v>
      </c>
      <c r="T58" s="109"/>
    </row>
    <row r="59" spans="1:21" s="22" customFormat="1" ht="19.5" customHeight="1">
      <c r="A59" s="59">
        <v>46</v>
      </c>
      <c r="B59" s="78" t="s">
        <v>398</v>
      </c>
      <c r="C59" s="101">
        <f>D59+E59</f>
        <v>457</v>
      </c>
      <c r="D59" s="28">
        <v>338</v>
      </c>
      <c r="E59" s="28">
        <v>119</v>
      </c>
      <c r="F59" s="101">
        <f t="shared" si="2"/>
        <v>457</v>
      </c>
      <c r="G59" s="93">
        <v>338</v>
      </c>
      <c r="H59" s="93">
        <v>119</v>
      </c>
      <c r="I59" s="101">
        <f t="shared" si="3"/>
        <v>338</v>
      </c>
      <c r="J59" s="93">
        <v>338</v>
      </c>
      <c r="K59" s="94"/>
      <c r="L59" s="150"/>
      <c r="M59" s="150"/>
      <c r="N59" s="101">
        <f t="shared" si="4"/>
        <v>3</v>
      </c>
      <c r="O59" s="105">
        <v>2</v>
      </c>
      <c r="P59" s="102">
        <f t="shared" si="8"/>
        <v>1</v>
      </c>
      <c r="Q59" s="148">
        <v>1</v>
      </c>
      <c r="R59" s="148">
        <v>0</v>
      </c>
      <c r="S59" s="148">
        <v>0</v>
      </c>
      <c r="U59" s="22" t="s">
        <v>502</v>
      </c>
    </row>
    <row r="60" spans="1:19" s="39" customFormat="1" ht="19.5" customHeight="1">
      <c r="A60" s="59">
        <v>47</v>
      </c>
      <c r="B60" s="78" t="s">
        <v>399</v>
      </c>
      <c r="C60" s="101">
        <f t="shared" si="1"/>
        <v>1303.5</v>
      </c>
      <c r="D60" s="92">
        <f t="shared" si="5"/>
        <v>434.5</v>
      </c>
      <c r="E60" s="28">
        <v>869</v>
      </c>
      <c r="F60" s="101">
        <f t="shared" si="2"/>
        <v>1284</v>
      </c>
      <c r="G60" s="92">
        <f t="shared" si="6"/>
        <v>428</v>
      </c>
      <c r="H60" s="28">
        <v>856</v>
      </c>
      <c r="I60" s="101">
        <f t="shared" si="3"/>
        <v>1284</v>
      </c>
      <c r="J60" s="92">
        <f t="shared" si="7"/>
        <v>428</v>
      </c>
      <c r="K60" s="34">
        <v>856</v>
      </c>
      <c r="L60" s="148">
        <v>0</v>
      </c>
      <c r="M60" s="148">
        <v>0</v>
      </c>
      <c r="N60" s="101">
        <f t="shared" si="4"/>
        <v>0</v>
      </c>
      <c r="O60" s="105"/>
      <c r="P60" s="102">
        <f t="shared" si="8"/>
        <v>0</v>
      </c>
      <c r="Q60" s="148">
        <v>0</v>
      </c>
      <c r="R60" s="148">
        <v>0</v>
      </c>
      <c r="S60" s="148">
        <v>0</v>
      </c>
    </row>
    <row r="61" spans="1:19" s="22" customFormat="1" ht="19.5" customHeight="1">
      <c r="A61" s="59">
        <v>48</v>
      </c>
      <c r="B61" s="78" t="s">
        <v>400</v>
      </c>
      <c r="C61" s="101">
        <f t="shared" si="1"/>
        <v>0</v>
      </c>
      <c r="D61" s="92"/>
      <c r="E61" s="28"/>
      <c r="F61" s="101">
        <f t="shared" si="2"/>
        <v>1162.5</v>
      </c>
      <c r="G61" s="145">
        <f t="shared" si="6"/>
        <v>387.5</v>
      </c>
      <c r="H61" s="28">
        <v>775</v>
      </c>
      <c r="I61" s="101">
        <f t="shared" si="3"/>
        <v>1048.5</v>
      </c>
      <c r="J61" s="145">
        <f t="shared" si="7"/>
        <v>349.5</v>
      </c>
      <c r="K61" s="14">
        <v>699</v>
      </c>
      <c r="L61" s="148"/>
      <c r="M61" s="148">
        <v>76</v>
      </c>
      <c r="N61" s="101">
        <f t="shared" si="4"/>
        <v>0</v>
      </c>
      <c r="O61" s="105"/>
      <c r="P61" s="102">
        <f t="shared" si="8"/>
        <v>0</v>
      </c>
      <c r="Q61" s="149"/>
      <c r="R61" s="149"/>
      <c r="S61" s="149"/>
    </row>
    <row r="62" spans="1:19" s="22" customFormat="1" ht="19.5" customHeight="1">
      <c r="A62" s="59">
        <v>49</v>
      </c>
      <c r="B62" s="78" t="s">
        <v>401</v>
      </c>
      <c r="C62" s="101">
        <f t="shared" si="1"/>
        <v>625</v>
      </c>
      <c r="D62" s="92">
        <v>208</v>
      </c>
      <c r="E62" s="28">
        <v>417</v>
      </c>
      <c r="F62" s="101">
        <f t="shared" si="2"/>
        <v>625</v>
      </c>
      <c r="G62" s="92">
        <v>208</v>
      </c>
      <c r="H62" s="28">
        <v>417</v>
      </c>
      <c r="I62" s="101">
        <f t="shared" si="3"/>
        <v>580</v>
      </c>
      <c r="J62" s="28">
        <v>184</v>
      </c>
      <c r="K62" s="34">
        <v>396</v>
      </c>
      <c r="L62" s="148">
        <v>0</v>
      </c>
      <c r="M62" s="148">
        <v>21</v>
      </c>
      <c r="N62" s="101">
        <f t="shared" si="4"/>
        <v>0</v>
      </c>
      <c r="O62" s="105"/>
      <c r="P62" s="102">
        <f t="shared" si="8"/>
        <v>0</v>
      </c>
      <c r="Q62" s="148">
        <v>0</v>
      </c>
      <c r="R62" s="148">
        <v>0</v>
      </c>
      <c r="S62" s="148">
        <v>0</v>
      </c>
    </row>
    <row r="63" spans="1:19" s="22" customFormat="1" ht="19.5" customHeight="1">
      <c r="A63" s="59">
        <v>50</v>
      </c>
      <c r="B63" s="78" t="s">
        <v>402</v>
      </c>
      <c r="C63" s="101">
        <f t="shared" si="1"/>
        <v>1686</v>
      </c>
      <c r="D63" s="92">
        <f t="shared" si="5"/>
        <v>562</v>
      </c>
      <c r="E63" s="28">
        <v>1124</v>
      </c>
      <c r="F63" s="101">
        <f t="shared" si="2"/>
        <v>1686</v>
      </c>
      <c r="G63" s="92">
        <f t="shared" si="6"/>
        <v>562</v>
      </c>
      <c r="H63" s="28">
        <v>1124</v>
      </c>
      <c r="I63" s="101">
        <f t="shared" si="3"/>
        <v>1606.5</v>
      </c>
      <c r="J63" s="92">
        <f t="shared" si="7"/>
        <v>535.5</v>
      </c>
      <c r="K63" s="34">
        <v>1071</v>
      </c>
      <c r="L63" s="148"/>
      <c r="M63" s="148">
        <v>53</v>
      </c>
      <c r="N63" s="101">
        <f t="shared" si="4"/>
        <v>0</v>
      </c>
      <c r="O63" s="105"/>
      <c r="P63" s="102">
        <f t="shared" si="8"/>
        <v>0</v>
      </c>
      <c r="Q63" s="148"/>
      <c r="R63" s="148"/>
      <c r="S63" s="148"/>
    </row>
    <row r="64" spans="1:19" s="22" customFormat="1" ht="19.5" customHeight="1">
      <c r="A64" s="59">
        <v>51</v>
      </c>
      <c r="B64" s="78" t="s">
        <v>403</v>
      </c>
      <c r="C64" s="101">
        <f t="shared" si="1"/>
        <v>919.5</v>
      </c>
      <c r="D64" s="92">
        <f t="shared" si="5"/>
        <v>306.5</v>
      </c>
      <c r="E64" s="28">
        <v>613</v>
      </c>
      <c r="F64" s="101">
        <f t="shared" si="2"/>
        <v>919.5</v>
      </c>
      <c r="G64" s="92">
        <f t="shared" si="6"/>
        <v>306.5</v>
      </c>
      <c r="H64" s="28">
        <v>613</v>
      </c>
      <c r="I64" s="101">
        <f t="shared" si="3"/>
        <v>919.5</v>
      </c>
      <c r="J64" s="92">
        <f t="shared" si="7"/>
        <v>306.5</v>
      </c>
      <c r="K64" s="34">
        <v>613</v>
      </c>
      <c r="L64" s="148">
        <v>0</v>
      </c>
      <c r="M64" s="148">
        <v>0</v>
      </c>
      <c r="N64" s="101">
        <f t="shared" si="4"/>
        <v>0</v>
      </c>
      <c r="O64" s="105">
        <v>0</v>
      </c>
      <c r="P64" s="102">
        <f t="shared" si="8"/>
        <v>0</v>
      </c>
      <c r="Q64" s="148">
        <v>0</v>
      </c>
      <c r="R64" s="148">
        <v>0</v>
      </c>
      <c r="S64" s="148">
        <v>0</v>
      </c>
    </row>
    <row r="65" spans="1:19" s="22" customFormat="1" ht="19.5" customHeight="1">
      <c r="A65" s="59">
        <v>52</v>
      </c>
      <c r="B65" s="78" t="s">
        <v>404</v>
      </c>
      <c r="C65" s="101">
        <f t="shared" si="1"/>
        <v>438</v>
      </c>
      <c r="D65" s="28">
        <v>186</v>
      </c>
      <c r="E65" s="28">
        <v>252</v>
      </c>
      <c r="F65" s="101">
        <f t="shared" si="2"/>
        <v>378</v>
      </c>
      <c r="G65" s="92">
        <f t="shared" si="6"/>
        <v>126</v>
      </c>
      <c r="H65" s="28">
        <v>252</v>
      </c>
      <c r="I65" s="101">
        <f t="shared" si="3"/>
        <v>325</v>
      </c>
      <c r="J65" s="92">
        <v>108</v>
      </c>
      <c r="K65" s="34">
        <v>217</v>
      </c>
      <c r="L65" s="148">
        <v>0</v>
      </c>
      <c r="M65" s="148">
        <v>35</v>
      </c>
      <c r="N65" s="101">
        <f t="shared" si="4"/>
        <v>0</v>
      </c>
      <c r="O65" s="105">
        <v>0</v>
      </c>
      <c r="P65" s="102">
        <f t="shared" si="8"/>
        <v>0</v>
      </c>
      <c r="Q65" s="148">
        <v>0</v>
      </c>
      <c r="R65" s="148">
        <v>0</v>
      </c>
      <c r="S65" s="148">
        <v>0</v>
      </c>
    </row>
    <row r="66" spans="1:19" s="22" customFormat="1" ht="19.5" customHeight="1">
      <c r="A66" s="59">
        <v>53</v>
      </c>
      <c r="B66" s="78" t="s">
        <v>405</v>
      </c>
      <c r="C66" s="101">
        <f t="shared" si="1"/>
        <v>665</v>
      </c>
      <c r="D66" s="28">
        <v>166</v>
      </c>
      <c r="E66" s="28">
        <v>499</v>
      </c>
      <c r="F66" s="101">
        <f t="shared" si="2"/>
        <v>670</v>
      </c>
      <c r="G66" s="28">
        <v>166</v>
      </c>
      <c r="H66" s="28">
        <v>504</v>
      </c>
      <c r="I66" s="101">
        <f t="shared" si="3"/>
        <v>651</v>
      </c>
      <c r="J66" s="28">
        <v>159</v>
      </c>
      <c r="K66" s="34">
        <v>492</v>
      </c>
      <c r="L66" s="148">
        <v>0</v>
      </c>
      <c r="M66" s="148">
        <v>12</v>
      </c>
      <c r="N66" s="101">
        <f t="shared" si="4"/>
        <v>0</v>
      </c>
      <c r="O66" s="105"/>
      <c r="P66" s="102">
        <f t="shared" si="8"/>
        <v>0</v>
      </c>
      <c r="Q66" s="148">
        <v>0</v>
      </c>
      <c r="R66" s="148">
        <v>0</v>
      </c>
      <c r="S66" s="148">
        <v>0</v>
      </c>
    </row>
    <row r="67" spans="1:19" s="39" customFormat="1" ht="31.5" customHeight="1">
      <c r="A67" s="59">
        <v>54</v>
      </c>
      <c r="B67" s="78" t="s">
        <v>406</v>
      </c>
      <c r="C67" s="101">
        <f t="shared" si="1"/>
        <v>688.5</v>
      </c>
      <c r="D67" s="145">
        <f t="shared" si="5"/>
        <v>229.5</v>
      </c>
      <c r="E67" s="28">
        <v>459</v>
      </c>
      <c r="F67" s="101">
        <f t="shared" si="2"/>
        <v>688.5</v>
      </c>
      <c r="G67" s="145">
        <f t="shared" si="6"/>
        <v>229.5</v>
      </c>
      <c r="H67" s="28">
        <v>459</v>
      </c>
      <c r="I67" s="101">
        <f t="shared" si="3"/>
        <v>630</v>
      </c>
      <c r="J67" s="145">
        <f t="shared" si="7"/>
        <v>210</v>
      </c>
      <c r="K67" s="14">
        <v>420</v>
      </c>
      <c r="L67" s="148">
        <v>0</v>
      </c>
      <c r="M67" s="148">
        <v>39</v>
      </c>
      <c r="N67" s="101">
        <f t="shared" si="4"/>
        <v>0</v>
      </c>
      <c r="O67" s="105"/>
      <c r="P67" s="102">
        <f t="shared" si="8"/>
        <v>0</v>
      </c>
      <c r="Q67" s="148">
        <v>0</v>
      </c>
      <c r="R67" s="148">
        <v>0</v>
      </c>
      <c r="S67" s="148">
        <v>0</v>
      </c>
    </row>
    <row r="68" spans="1:19" s="22" customFormat="1" ht="19.5" customHeight="1">
      <c r="A68" s="59">
        <v>55</v>
      </c>
      <c r="B68" s="78" t="s">
        <v>407</v>
      </c>
      <c r="C68" s="101">
        <f t="shared" si="1"/>
        <v>1203</v>
      </c>
      <c r="D68" s="28">
        <v>400</v>
      </c>
      <c r="E68" s="28">
        <v>803</v>
      </c>
      <c r="F68" s="101">
        <f t="shared" si="2"/>
        <v>1203</v>
      </c>
      <c r="G68" s="92">
        <v>400</v>
      </c>
      <c r="H68" s="28">
        <v>803</v>
      </c>
      <c r="I68" s="101">
        <f t="shared" si="3"/>
        <v>1185</v>
      </c>
      <c r="J68" s="92">
        <f t="shared" si="7"/>
        <v>395</v>
      </c>
      <c r="K68" s="34">
        <v>790</v>
      </c>
      <c r="L68" s="148">
        <v>0</v>
      </c>
      <c r="M68" s="148">
        <v>13</v>
      </c>
      <c r="N68" s="101">
        <f t="shared" si="4"/>
        <v>0</v>
      </c>
      <c r="O68" s="105">
        <v>0</v>
      </c>
      <c r="P68" s="102">
        <f t="shared" si="8"/>
        <v>0</v>
      </c>
      <c r="Q68" s="148">
        <v>0</v>
      </c>
      <c r="R68" s="148">
        <v>0</v>
      </c>
      <c r="S68" s="148">
        <v>0</v>
      </c>
    </row>
    <row r="69" spans="1:22" s="38" customFormat="1" ht="31.5">
      <c r="A69" s="59">
        <v>56</v>
      </c>
      <c r="B69" s="78" t="s">
        <v>408</v>
      </c>
      <c r="C69" s="101">
        <f t="shared" si="1"/>
        <v>640.5</v>
      </c>
      <c r="D69" s="92">
        <f t="shared" si="5"/>
        <v>213.5</v>
      </c>
      <c r="E69" s="28">
        <v>427</v>
      </c>
      <c r="F69" s="101">
        <f t="shared" si="2"/>
        <v>640.5</v>
      </c>
      <c r="G69" s="92">
        <f t="shared" si="6"/>
        <v>213.5</v>
      </c>
      <c r="H69" s="28">
        <v>427</v>
      </c>
      <c r="I69" s="101">
        <f t="shared" si="3"/>
        <v>568.5</v>
      </c>
      <c r="J69" s="92">
        <f t="shared" si="7"/>
        <v>189.5</v>
      </c>
      <c r="K69" s="34">
        <v>379</v>
      </c>
      <c r="L69" s="148"/>
      <c r="M69" s="148">
        <v>48</v>
      </c>
      <c r="N69" s="101">
        <f t="shared" si="4"/>
        <v>641</v>
      </c>
      <c r="O69" s="105">
        <v>214</v>
      </c>
      <c r="P69" s="108">
        <v>427</v>
      </c>
      <c r="Q69" s="148">
        <v>0</v>
      </c>
      <c r="R69" s="148">
        <v>0</v>
      </c>
      <c r="S69" s="150"/>
      <c r="V69" s="38" t="s">
        <v>501</v>
      </c>
    </row>
    <row r="70" spans="1:19" s="39" customFormat="1" ht="19.5" customHeight="1">
      <c r="A70" s="59">
        <v>57</v>
      </c>
      <c r="B70" s="78" t="s">
        <v>409</v>
      </c>
      <c r="C70" s="101">
        <f t="shared" si="1"/>
        <v>676</v>
      </c>
      <c r="D70" s="28">
        <v>171</v>
      </c>
      <c r="E70" s="28">
        <v>505</v>
      </c>
      <c r="F70" s="101">
        <f t="shared" si="2"/>
        <v>676</v>
      </c>
      <c r="G70" s="28">
        <v>171</v>
      </c>
      <c r="H70" s="28">
        <v>505</v>
      </c>
      <c r="I70" s="101">
        <f t="shared" si="3"/>
        <v>649</v>
      </c>
      <c r="J70" s="28">
        <v>168</v>
      </c>
      <c r="K70" s="34">
        <v>481</v>
      </c>
      <c r="L70" s="148">
        <v>0</v>
      </c>
      <c r="M70" s="148">
        <v>24</v>
      </c>
      <c r="N70" s="101">
        <f t="shared" si="4"/>
        <v>0</v>
      </c>
      <c r="O70" s="105">
        <v>0</v>
      </c>
      <c r="P70" s="102">
        <f t="shared" si="8"/>
        <v>0</v>
      </c>
      <c r="Q70" s="148">
        <v>0</v>
      </c>
      <c r="R70" s="148">
        <v>0</v>
      </c>
      <c r="S70" s="148">
        <v>0</v>
      </c>
    </row>
    <row r="71" spans="1:19" ht="31.5">
      <c r="A71" s="59">
        <v>58</v>
      </c>
      <c r="B71" s="78" t="s">
        <v>410</v>
      </c>
      <c r="C71" s="101">
        <f t="shared" si="1"/>
        <v>8409</v>
      </c>
      <c r="D71" s="28">
        <v>1839</v>
      </c>
      <c r="E71" s="28">
        <v>6570</v>
      </c>
      <c r="F71" s="101">
        <f t="shared" si="2"/>
        <v>8409</v>
      </c>
      <c r="G71" s="28">
        <v>1839</v>
      </c>
      <c r="H71" s="28">
        <v>6570</v>
      </c>
      <c r="I71" s="101">
        <f t="shared" si="3"/>
        <v>7181</v>
      </c>
      <c r="J71" s="28">
        <v>1737</v>
      </c>
      <c r="K71" s="34">
        <v>5444</v>
      </c>
      <c r="L71" s="148">
        <v>0</v>
      </c>
      <c r="M71" s="14">
        <v>1126</v>
      </c>
      <c r="N71" s="101">
        <f t="shared" si="4"/>
        <v>0</v>
      </c>
      <c r="O71" s="105"/>
      <c r="P71" s="102">
        <f t="shared" si="8"/>
        <v>0</v>
      </c>
      <c r="Q71" s="148">
        <v>0</v>
      </c>
      <c r="R71" s="148">
        <v>0</v>
      </c>
      <c r="S71" s="148">
        <v>0</v>
      </c>
    </row>
    <row r="72" spans="1:19" ht="19.5" customHeight="1">
      <c r="A72" s="59">
        <v>59</v>
      </c>
      <c r="B72" s="78" t="s">
        <v>411</v>
      </c>
      <c r="C72" s="101">
        <f t="shared" si="1"/>
        <v>352</v>
      </c>
      <c r="D72" s="28">
        <v>88</v>
      </c>
      <c r="E72" s="28">
        <v>264</v>
      </c>
      <c r="F72" s="101">
        <f t="shared" si="2"/>
        <v>352</v>
      </c>
      <c r="G72" s="28">
        <v>88</v>
      </c>
      <c r="H72" s="28">
        <v>264</v>
      </c>
      <c r="I72" s="101">
        <f t="shared" si="3"/>
        <v>352</v>
      </c>
      <c r="J72" s="28">
        <v>88</v>
      </c>
      <c r="K72" s="34">
        <v>264</v>
      </c>
      <c r="L72" s="148"/>
      <c r="M72" s="148"/>
      <c r="N72" s="101">
        <f t="shared" si="4"/>
        <v>0</v>
      </c>
      <c r="O72" s="105"/>
      <c r="P72" s="102">
        <f t="shared" si="8"/>
        <v>0</v>
      </c>
      <c r="Q72" s="148">
        <v>0</v>
      </c>
      <c r="R72" s="148">
        <v>0</v>
      </c>
      <c r="S72" s="148">
        <v>0</v>
      </c>
    </row>
    <row r="73" spans="1:19" ht="15.75">
      <c r="A73" s="59">
        <v>60</v>
      </c>
      <c r="B73" s="78" t="s">
        <v>412</v>
      </c>
      <c r="C73" s="101">
        <f t="shared" si="1"/>
        <v>309</v>
      </c>
      <c r="D73" s="92">
        <f t="shared" si="5"/>
        <v>103</v>
      </c>
      <c r="E73" s="28">
        <v>206</v>
      </c>
      <c r="F73" s="101">
        <f t="shared" si="2"/>
        <v>277.5</v>
      </c>
      <c r="G73" s="92">
        <f t="shared" si="6"/>
        <v>92.5</v>
      </c>
      <c r="H73" s="28">
        <v>185</v>
      </c>
      <c r="I73" s="101">
        <f t="shared" si="3"/>
        <v>277.5</v>
      </c>
      <c r="J73" s="92">
        <f t="shared" si="7"/>
        <v>92.5</v>
      </c>
      <c r="K73" s="14">
        <v>185</v>
      </c>
      <c r="L73" s="148">
        <v>0</v>
      </c>
      <c r="M73" s="148">
        <v>0</v>
      </c>
      <c r="N73" s="101">
        <f t="shared" si="4"/>
        <v>0</v>
      </c>
      <c r="O73" s="105">
        <v>0</v>
      </c>
      <c r="P73" s="102">
        <f t="shared" si="8"/>
        <v>0</v>
      </c>
      <c r="Q73" s="148">
        <v>0</v>
      </c>
      <c r="R73" s="148">
        <v>0</v>
      </c>
      <c r="S73" s="148">
        <v>0</v>
      </c>
    </row>
    <row r="74" spans="1:19" ht="19.5" customHeight="1">
      <c r="A74" s="59">
        <v>61</v>
      </c>
      <c r="B74" s="78" t="s">
        <v>413</v>
      </c>
      <c r="C74" s="101">
        <f t="shared" si="1"/>
        <v>1312</v>
      </c>
      <c r="D74" s="28">
        <v>328</v>
      </c>
      <c r="E74" s="28">
        <v>984</v>
      </c>
      <c r="F74" s="101">
        <f t="shared" si="2"/>
        <v>1312</v>
      </c>
      <c r="G74" s="28">
        <v>328</v>
      </c>
      <c r="H74" s="28">
        <v>984</v>
      </c>
      <c r="I74" s="101">
        <f t="shared" si="3"/>
        <v>1272</v>
      </c>
      <c r="J74" s="28">
        <v>318</v>
      </c>
      <c r="K74" s="34">
        <v>954</v>
      </c>
      <c r="L74" s="148">
        <v>0</v>
      </c>
      <c r="M74" s="148">
        <v>30</v>
      </c>
      <c r="N74" s="101">
        <f t="shared" si="4"/>
        <v>0</v>
      </c>
      <c r="O74" s="105"/>
      <c r="P74" s="102">
        <f t="shared" si="8"/>
        <v>0</v>
      </c>
      <c r="Q74" s="148"/>
      <c r="R74" s="148"/>
      <c r="S74" s="148"/>
    </row>
    <row r="75" spans="1:19" ht="19.5" customHeight="1">
      <c r="A75" s="59">
        <v>62</v>
      </c>
      <c r="B75" s="78" t="s">
        <v>414</v>
      </c>
      <c r="C75" s="101">
        <f t="shared" si="1"/>
        <v>207</v>
      </c>
      <c r="D75" s="92">
        <f t="shared" si="5"/>
        <v>69</v>
      </c>
      <c r="E75" s="28">
        <v>138</v>
      </c>
      <c r="F75" s="101">
        <f t="shared" si="2"/>
        <v>207</v>
      </c>
      <c r="G75" s="92">
        <f t="shared" si="6"/>
        <v>69</v>
      </c>
      <c r="H75" s="28">
        <v>138</v>
      </c>
      <c r="I75" s="101">
        <f t="shared" si="3"/>
        <v>192</v>
      </c>
      <c r="J75" s="92">
        <f t="shared" si="7"/>
        <v>64</v>
      </c>
      <c r="K75" s="34">
        <v>128</v>
      </c>
      <c r="L75" s="148">
        <v>0</v>
      </c>
      <c r="M75" s="148">
        <v>10</v>
      </c>
      <c r="N75" s="101">
        <f t="shared" si="4"/>
        <v>0</v>
      </c>
      <c r="O75" s="105"/>
      <c r="P75" s="102">
        <f t="shared" si="8"/>
        <v>0</v>
      </c>
      <c r="Q75" s="148">
        <v>0</v>
      </c>
      <c r="R75" s="148">
        <v>0</v>
      </c>
      <c r="S75" s="148">
        <v>0</v>
      </c>
    </row>
    <row r="76" spans="1:19" ht="19.5" customHeight="1">
      <c r="A76" s="59">
        <v>63</v>
      </c>
      <c r="B76" s="78" t="s">
        <v>415</v>
      </c>
      <c r="C76" s="101">
        <f t="shared" si="1"/>
        <v>456</v>
      </c>
      <c r="D76" s="92">
        <f t="shared" si="5"/>
        <v>152</v>
      </c>
      <c r="E76" s="28">
        <v>304</v>
      </c>
      <c r="F76" s="101">
        <f t="shared" si="2"/>
        <v>456</v>
      </c>
      <c r="G76" s="92">
        <f t="shared" si="6"/>
        <v>152</v>
      </c>
      <c r="H76" s="28">
        <v>304</v>
      </c>
      <c r="I76" s="101">
        <f t="shared" si="3"/>
        <v>448.5</v>
      </c>
      <c r="J76" s="92">
        <f t="shared" si="7"/>
        <v>149.5</v>
      </c>
      <c r="K76" s="34">
        <v>299</v>
      </c>
      <c r="L76" s="148">
        <v>0</v>
      </c>
      <c r="M76" s="148">
        <v>5</v>
      </c>
      <c r="N76" s="101">
        <f t="shared" si="4"/>
        <v>0</v>
      </c>
      <c r="O76" s="105">
        <v>0</v>
      </c>
      <c r="P76" s="102">
        <f t="shared" si="8"/>
        <v>0</v>
      </c>
      <c r="Q76" s="148">
        <v>0</v>
      </c>
      <c r="R76" s="148">
        <v>0</v>
      </c>
      <c r="S76" s="148">
        <v>0</v>
      </c>
    </row>
    <row r="78" spans="1:8" s="89" customFormat="1" ht="18" customHeight="1">
      <c r="A78" s="50"/>
      <c r="B78" s="50" t="s">
        <v>342</v>
      </c>
      <c r="C78" s="56" t="s">
        <v>505</v>
      </c>
      <c r="F78" s="50"/>
      <c r="G78" s="88"/>
      <c r="H78" s="88"/>
    </row>
    <row r="79" spans="1:6" s="87" customFormat="1" ht="18" customHeight="1">
      <c r="A79" s="50"/>
      <c r="B79" s="50" t="s">
        <v>343</v>
      </c>
      <c r="C79" s="50" t="s">
        <v>344</v>
      </c>
      <c r="F79" s="50"/>
    </row>
    <row r="80" spans="1:6" s="87" customFormat="1" ht="18" customHeight="1">
      <c r="A80" s="50"/>
      <c r="B80" s="50" t="s">
        <v>345</v>
      </c>
      <c r="C80" s="50" t="s">
        <v>346</v>
      </c>
      <c r="F80" s="50"/>
    </row>
    <row r="81" spans="1:16" s="22" customFormat="1" ht="15.75">
      <c r="A81"/>
      <c r="B81" s="142"/>
      <c r="C81" s="120" t="s">
        <v>493</v>
      </c>
      <c r="F81"/>
      <c r="G81"/>
      <c r="H81"/>
      <c r="I81"/>
      <c r="J81"/>
      <c r="K81"/>
      <c r="L81"/>
      <c r="M81"/>
      <c r="N81"/>
      <c r="O81"/>
      <c r="P81" s="13"/>
    </row>
    <row r="82" spans="1:16" s="22" customFormat="1" ht="15.75">
      <c r="A82"/>
      <c r="B82" s="90"/>
      <c r="C82" s="50" t="s">
        <v>430</v>
      </c>
      <c r="F82"/>
      <c r="G82"/>
      <c r="H82"/>
      <c r="I82"/>
      <c r="J82"/>
      <c r="K82"/>
      <c r="L82"/>
      <c r="M82"/>
      <c r="N82"/>
      <c r="O82"/>
      <c r="P82" s="13"/>
    </row>
    <row r="83" spans="1:16" s="22" customFormat="1" ht="15.75">
      <c r="A83"/>
      <c r="B83" s="91"/>
      <c r="C83" s="50" t="s">
        <v>429</v>
      </c>
      <c r="F83"/>
      <c r="G83"/>
      <c r="H83"/>
      <c r="I83"/>
      <c r="J83"/>
      <c r="K83"/>
      <c r="L83"/>
      <c r="M83"/>
      <c r="N83"/>
      <c r="O83"/>
      <c r="P83" s="13"/>
    </row>
    <row r="84" spans="1:16" s="38" customFormat="1" ht="15.75">
      <c r="A84"/>
      <c r="B84" s="143"/>
      <c r="C84" s="86" t="s">
        <v>495</v>
      </c>
      <c r="F84"/>
      <c r="G84"/>
      <c r="H84"/>
      <c r="I84"/>
      <c r="J84"/>
      <c r="K84"/>
      <c r="L84"/>
      <c r="M84"/>
      <c r="N84"/>
      <c r="O84"/>
      <c r="P84" s="13"/>
    </row>
    <row r="85" spans="1:20" s="22" customFormat="1" ht="16.5" customHeight="1">
      <c r="A85"/>
      <c r="B85" s="50"/>
      <c r="C85" s="13"/>
      <c r="D85" s="13"/>
      <c r="E85"/>
      <c r="F85"/>
      <c r="G85"/>
      <c r="H85"/>
      <c r="I85"/>
      <c r="J85"/>
      <c r="K85"/>
      <c r="L85"/>
      <c r="M85"/>
      <c r="N85"/>
      <c r="O85"/>
      <c r="P85"/>
      <c r="Q85"/>
      <c r="R85"/>
      <c r="S85"/>
      <c r="T85" s="13"/>
    </row>
    <row r="86" spans="1:20" s="22" customFormat="1" ht="15.75">
      <c r="A86"/>
      <c r="B86" s="50"/>
      <c r="C86" s="13"/>
      <c r="D86" s="13"/>
      <c r="E86"/>
      <c r="F86"/>
      <c r="G86"/>
      <c r="H86"/>
      <c r="I86"/>
      <c r="J86"/>
      <c r="K86"/>
      <c r="L86"/>
      <c r="M86"/>
      <c r="N86"/>
      <c r="O86"/>
      <c r="P86"/>
      <c r="Q86"/>
      <c r="R86"/>
      <c r="S86"/>
      <c r="T86" s="13"/>
    </row>
    <row r="87" spans="1:20" s="22" customFormat="1" ht="15.75">
      <c r="A87"/>
      <c r="B87" s="50"/>
      <c r="C87" s="13"/>
      <c r="D87" s="13"/>
      <c r="E87"/>
      <c r="F87"/>
      <c r="G87"/>
      <c r="H87"/>
      <c r="I87"/>
      <c r="J87"/>
      <c r="K87"/>
      <c r="L87"/>
      <c r="M87"/>
      <c r="N87"/>
      <c r="O87"/>
      <c r="P87"/>
      <c r="Q87"/>
      <c r="R87"/>
      <c r="S87"/>
      <c r="T87" s="13"/>
    </row>
  </sheetData>
  <sheetProtection/>
  <mergeCells count="33">
    <mergeCell ref="C9:C11"/>
    <mergeCell ref="D9:E9"/>
    <mergeCell ref="F9:F11"/>
    <mergeCell ref="G9:H9"/>
    <mergeCell ref="H10:H11"/>
    <mergeCell ref="N6:S6"/>
    <mergeCell ref="F7:H8"/>
    <mergeCell ref="I7:M7"/>
    <mergeCell ref="N7:N11"/>
    <mergeCell ref="Q10:R10"/>
    <mergeCell ref="M8:M11"/>
    <mergeCell ref="I9:I11"/>
    <mergeCell ref="S10:S11"/>
    <mergeCell ref="A2:S2"/>
    <mergeCell ref="A3:S3"/>
    <mergeCell ref="A4:S4"/>
    <mergeCell ref="A6:B11"/>
    <mergeCell ref="C6:E8"/>
    <mergeCell ref="F6:M6"/>
    <mergeCell ref="Q9:S9"/>
    <mergeCell ref="D10:D11"/>
    <mergeCell ref="E10:E11"/>
    <mergeCell ref="G10:G11"/>
    <mergeCell ref="A12:B12"/>
    <mergeCell ref="A13:B13"/>
    <mergeCell ref="J9:K9"/>
    <mergeCell ref="P9:P11"/>
    <mergeCell ref="J10:J11"/>
    <mergeCell ref="K10:K11"/>
    <mergeCell ref="O7:O11"/>
    <mergeCell ref="P7:S8"/>
    <mergeCell ref="I8:K8"/>
    <mergeCell ref="L8:L11"/>
  </mergeCells>
  <printOptions/>
  <pageMargins left="0.5" right="0.25" top="0.25" bottom="0.25" header="0" footer="0"/>
  <pageSetup horizontalDpi="600" verticalDpi="600" orientation="landscape" paperSize="9" scale="85" r:id="rId2"/>
  <drawing r:id="rId1"/>
</worksheet>
</file>

<file path=xl/worksheets/sheet15.xml><?xml version="1.0" encoding="utf-8"?>
<worksheet xmlns="http://schemas.openxmlformats.org/spreadsheetml/2006/main" xmlns:r="http://schemas.openxmlformats.org/officeDocument/2006/relationships">
  <sheetPr>
    <tabColor theme="2" tint="-0.7499799728393555"/>
  </sheetPr>
  <dimension ref="A1:V130"/>
  <sheetViews>
    <sheetView zoomScale="70" zoomScaleNormal="70" zoomScalePageLayoutView="0" workbookViewId="0" topLeftCell="A4">
      <selection activeCell="U27" sqref="U27"/>
    </sheetView>
  </sheetViews>
  <sheetFormatPr defaultColWidth="9.140625" defaultRowHeight="12.75"/>
  <cols>
    <col min="1" max="1" width="5.140625" style="0" customWidth="1"/>
    <col min="2" max="2" width="17.57421875" style="0" customWidth="1"/>
    <col min="3" max="3" width="4.7109375" style="730" customWidth="1"/>
    <col min="4" max="4" width="6.140625" style="730" customWidth="1"/>
    <col min="5" max="5" width="6.00390625" style="247" customWidth="1"/>
    <col min="6" max="6" width="7.140625" style="247" customWidth="1"/>
    <col min="7" max="7" width="6.421875" style="0" customWidth="1"/>
    <col min="8" max="8" width="6.28125" style="0" customWidth="1"/>
    <col min="9" max="9" width="12.140625" style="0" customWidth="1"/>
    <col min="10" max="10" width="11.421875" style="0" customWidth="1"/>
    <col min="11" max="11" width="6.421875" style="0" customWidth="1"/>
    <col min="12" max="12" width="11.28125" style="0" customWidth="1"/>
    <col min="13" max="13" width="9.421875" style="0" customWidth="1"/>
    <col min="14" max="14" width="11.28125" style="0" customWidth="1"/>
    <col min="15" max="16" width="6.8515625" style="0" customWidth="1"/>
    <col min="17" max="17" width="6.7109375" style="0" customWidth="1"/>
    <col min="18" max="18" width="10.57421875" style="0" customWidth="1"/>
    <col min="19" max="19" width="8.8515625" style="0" customWidth="1"/>
    <col min="20" max="20" width="11.28125" style="224" customWidth="1"/>
    <col min="21" max="21" width="24.7109375" style="56" customWidth="1"/>
  </cols>
  <sheetData>
    <row r="1" spans="1:21" s="552" customFormat="1" ht="18.75">
      <c r="A1" s="1105" t="s">
        <v>318</v>
      </c>
      <c r="B1" s="1105"/>
      <c r="C1" s="1105"/>
      <c r="D1" s="1105"/>
      <c r="E1" s="1105"/>
      <c r="F1" s="551"/>
      <c r="H1" s="440"/>
      <c r="T1" s="553"/>
      <c r="U1" s="554"/>
    </row>
    <row r="2" spans="3:21" s="552" customFormat="1" ht="39.75" customHeight="1">
      <c r="C2" s="730"/>
      <c r="D2" s="730"/>
      <c r="E2" s="555"/>
      <c r="F2" s="556"/>
      <c r="G2" s="556"/>
      <c r="H2" s="556"/>
      <c r="I2" s="556"/>
      <c r="K2" s="556" t="s">
        <v>242</v>
      </c>
      <c r="M2" s="556"/>
      <c r="N2" s="556"/>
      <c r="T2" s="553"/>
      <c r="U2" s="554"/>
    </row>
    <row r="3" spans="1:21" s="552" customFormat="1" ht="27" customHeight="1">
      <c r="A3" s="1100" t="s">
        <v>243</v>
      </c>
      <c r="B3" s="1100"/>
      <c r="C3" s="1100"/>
      <c r="D3" s="1100"/>
      <c r="E3" s="1100"/>
      <c r="F3" s="1100"/>
      <c r="G3" s="1100"/>
      <c r="H3" s="1100"/>
      <c r="I3" s="1100"/>
      <c r="J3" s="1100"/>
      <c r="K3" s="1100"/>
      <c r="L3" s="1100"/>
      <c r="M3" s="1100"/>
      <c r="N3" s="1100"/>
      <c r="O3" s="1100"/>
      <c r="P3" s="1100"/>
      <c r="Q3" s="1100"/>
      <c r="R3" s="1100"/>
      <c r="S3" s="1100"/>
      <c r="T3" s="1100"/>
      <c r="U3" s="554"/>
    </row>
    <row r="4" spans="1:21" s="552" customFormat="1" ht="18.75">
      <c r="A4" s="1017" t="s">
        <v>319</v>
      </c>
      <c r="B4" s="1017"/>
      <c r="C4" s="1017"/>
      <c r="D4" s="1017"/>
      <c r="E4" s="1017"/>
      <c r="F4" s="1017"/>
      <c r="G4" s="1017"/>
      <c r="H4" s="1017"/>
      <c r="I4" s="1017"/>
      <c r="J4" s="1017"/>
      <c r="K4" s="1017"/>
      <c r="L4" s="1017"/>
      <c r="M4" s="1017"/>
      <c r="N4" s="1017"/>
      <c r="O4" s="1017"/>
      <c r="P4" s="1017"/>
      <c r="Q4" s="1017"/>
      <c r="R4" s="1017"/>
      <c r="S4" s="1017"/>
      <c r="T4" s="1017"/>
      <c r="U4" s="554"/>
    </row>
    <row r="6" spans="1:20" ht="57" customHeight="1">
      <c r="A6" s="1106"/>
      <c r="B6" s="1107"/>
      <c r="C6" s="866" t="s">
        <v>244</v>
      </c>
      <c r="D6" s="866"/>
      <c r="E6" s="866"/>
      <c r="F6" s="866"/>
      <c r="G6" s="866"/>
      <c r="H6" s="866"/>
      <c r="I6" s="866"/>
      <c r="J6" s="866"/>
      <c r="K6" s="866"/>
      <c r="L6" s="867"/>
      <c r="M6" s="1076" t="s">
        <v>245</v>
      </c>
      <c r="N6" s="1076"/>
      <c r="O6" s="1076"/>
      <c r="P6" s="1076"/>
      <c r="Q6" s="1076"/>
      <c r="R6" s="1076"/>
      <c r="S6" s="1076"/>
      <c r="T6" s="1076"/>
    </row>
    <row r="7" spans="1:21" s="13" customFormat="1" ht="69" customHeight="1">
      <c r="A7" s="1108"/>
      <c r="B7" s="1109"/>
      <c r="C7" s="915" t="s">
        <v>354</v>
      </c>
      <c r="D7" s="915"/>
      <c r="E7" s="915"/>
      <c r="F7" s="849" t="s">
        <v>331</v>
      </c>
      <c r="G7" s="849"/>
      <c r="H7" s="849"/>
      <c r="I7" s="849"/>
      <c r="J7" s="849"/>
      <c r="K7" s="849"/>
      <c r="L7" s="849"/>
      <c r="M7" s="849" t="s">
        <v>246</v>
      </c>
      <c r="N7" s="849"/>
      <c r="O7" s="849" t="s">
        <v>331</v>
      </c>
      <c r="P7" s="849"/>
      <c r="Q7" s="849"/>
      <c r="R7" s="849"/>
      <c r="S7" s="849"/>
      <c r="T7" s="849"/>
      <c r="U7" s="56"/>
    </row>
    <row r="8" spans="1:21" s="13" customFormat="1" ht="61.5" customHeight="1">
      <c r="A8" s="1108"/>
      <c r="B8" s="1109"/>
      <c r="C8" s="915"/>
      <c r="D8" s="915"/>
      <c r="E8" s="915"/>
      <c r="F8" s="1080" t="s">
        <v>248</v>
      </c>
      <c r="G8" s="1081"/>
      <c r="H8" s="1082"/>
      <c r="I8" s="911" t="s">
        <v>249</v>
      </c>
      <c r="J8" s="1080" t="s">
        <v>251</v>
      </c>
      <c r="K8" s="1081"/>
      <c r="L8" s="1082"/>
      <c r="M8" s="911" t="s">
        <v>252</v>
      </c>
      <c r="N8" s="911" t="s">
        <v>253</v>
      </c>
      <c r="O8" s="1080" t="s">
        <v>254</v>
      </c>
      <c r="P8" s="1081"/>
      <c r="Q8" s="1082"/>
      <c r="R8" s="1080" t="s">
        <v>251</v>
      </c>
      <c r="S8" s="1081"/>
      <c r="T8" s="1082"/>
      <c r="U8" s="56"/>
    </row>
    <row r="9" spans="1:21" s="13" customFormat="1" ht="21" customHeight="1">
      <c r="A9" s="1108"/>
      <c r="B9" s="1109"/>
      <c r="C9" s="1113" t="s">
        <v>511</v>
      </c>
      <c r="D9" s="1048"/>
      <c r="E9" s="1048"/>
      <c r="F9" s="911" t="s">
        <v>511</v>
      </c>
      <c r="G9" s="849" t="s">
        <v>321</v>
      </c>
      <c r="H9" s="849"/>
      <c r="I9" s="912"/>
      <c r="J9" s="911" t="s">
        <v>511</v>
      </c>
      <c r="K9" s="849" t="s">
        <v>321</v>
      </c>
      <c r="L9" s="849"/>
      <c r="M9" s="912"/>
      <c r="N9" s="912"/>
      <c r="O9" s="911" t="s">
        <v>511</v>
      </c>
      <c r="P9" s="849" t="s">
        <v>321</v>
      </c>
      <c r="Q9" s="849"/>
      <c r="R9" s="849" t="s">
        <v>511</v>
      </c>
      <c r="S9" s="849" t="s">
        <v>321</v>
      </c>
      <c r="T9" s="849"/>
      <c r="U9" s="56"/>
    </row>
    <row r="10" spans="1:21" s="13" customFormat="1" ht="12.75" customHeight="1">
      <c r="A10" s="1108"/>
      <c r="B10" s="1109"/>
      <c r="C10" s="1113"/>
      <c r="D10" s="1112" t="s">
        <v>333</v>
      </c>
      <c r="E10" s="913" t="s">
        <v>320</v>
      </c>
      <c r="F10" s="912"/>
      <c r="G10" s="849" t="s">
        <v>333</v>
      </c>
      <c r="H10" s="849" t="s">
        <v>320</v>
      </c>
      <c r="I10" s="912"/>
      <c r="J10" s="912"/>
      <c r="K10" s="849" t="s">
        <v>333</v>
      </c>
      <c r="L10" s="849" t="s">
        <v>320</v>
      </c>
      <c r="M10" s="912"/>
      <c r="N10" s="912"/>
      <c r="O10" s="912"/>
      <c r="P10" s="849" t="s">
        <v>333</v>
      </c>
      <c r="Q10" s="849" t="s">
        <v>320</v>
      </c>
      <c r="R10" s="849"/>
      <c r="S10" s="849" t="s">
        <v>333</v>
      </c>
      <c r="T10" s="849" t="s">
        <v>320</v>
      </c>
      <c r="U10" s="56"/>
    </row>
    <row r="11" spans="1:21" s="13" customFormat="1" ht="151.5" customHeight="1">
      <c r="A11" s="1110"/>
      <c r="B11" s="1111"/>
      <c r="C11" s="1113"/>
      <c r="D11" s="1113"/>
      <c r="E11" s="849"/>
      <c r="F11" s="913"/>
      <c r="G11" s="849"/>
      <c r="H11" s="849"/>
      <c r="I11" s="913"/>
      <c r="J11" s="913"/>
      <c r="K11" s="849"/>
      <c r="L11" s="849"/>
      <c r="M11" s="913"/>
      <c r="N11" s="913"/>
      <c r="O11" s="913"/>
      <c r="P11" s="849"/>
      <c r="Q11" s="849"/>
      <c r="R11" s="849"/>
      <c r="S11" s="849"/>
      <c r="T11" s="849"/>
      <c r="U11" s="56"/>
    </row>
    <row r="12" spans="1:21" s="559" customFormat="1" ht="15.75">
      <c r="A12" s="1103" t="s">
        <v>323</v>
      </c>
      <c r="B12" s="1104"/>
      <c r="C12" s="557">
        <v>1</v>
      </c>
      <c r="D12" s="557">
        <v>2</v>
      </c>
      <c r="E12" s="557">
        <v>3</v>
      </c>
      <c r="F12" s="557">
        <v>4</v>
      </c>
      <c r="G12" s="557">
        <v>5</v>
      </c>
      <c r="H12" s="557">
        <v>6</v>
      </c>
      <c r="I12" s="557">
        <v>7</v>
      </c>
      <c r="J12" s="557">
        <v>8</v>
      </c>
      <c r="K12" s="557">
        <v>9</v>
      </c>
      <c r="L12" s="557">
        <v>10</v>
      </c>
      <c r="M12" s="557">
        <v>11</v>
      </c>
      <c r="N12" s="557">
        <v>12</v>
      </c>
      <c r="O12" s="557">
        <v>13</v>
      </c>
      <c r="P12" s="557">
        <v>14</v>
      </c>
      <c r="Q12" s="557">
        <v>15</v>
      </c>
      <c r="R12" s="557">
        <v>16</v>
      </c>
      <c r="S12" s="557">
        <v>17</v>
      </c>
      <c r="T12" s="557">
        <v>18</v>
      </c>
      <c r="U12" s="558"/>
    </row>
    <row r="13" spans="1:21" s="562" customFormat="1" ht="48" customHeight="1">
      <c r="A13" s="1098" t="s">
        <v>324</v>
      </c>
      <c r="B13" s="1099"/>
      <c r="C13" s="731">
        <f>C14+C36</f>
        <v>17</v>
      </c>
      <c r="D13" s="731">
        <f>D14+D36</f>
        <v>0</v>
      </c>
      <c r="E13" s="732">
        <f aca="true" t="shared" si="0" ref="E13:T13">SUM(E14,E36)</f>
        <v>17</v>
      </c>
      <c r="F13" s="802">
        <f t="shared" si="0"/>
        <v>6</v>
      </c>
      <c r="G13" s="560">
        <f t="shared" si="0"/>
        <v>0</v>
      </c>
      <c r="H13" s="560">
        <f t="shared" si="0"/>
        <v>6</v>
      </c>
      <c r="I13" s="560">
        <f t="shared" si="0"/>
        <v>528321</v>
      </c>
      <c r="J13" s="560">
        <f t="shared" si="0"/>
        <v>353049</v>
      </c>
      <c r="K13" s="560">
        <f t="shared" si="0"/>
        <v>0</v>
      </c>
      <c r="L13" s="560">
        <f t="shared" si="0"/>
        <v>353049</v>
      </c>
      <c r="M13" s="560">
        <f t="shared" si="0"/>
        <v>7</v>
      </c>
      <c r="N13" s="560">
        <f t="shared" si="0"/>
        <v>311466</v>
      </c>
      <c r="O13" s="560">
        <f t="shared" si="0"/>
        <v>6.5</v>
      </c>
      <c r="P13" s="560">
        <f t="shared" si="0"/>
        <v>1.5</v>
      </c>
      <c r="Q13" s="560">
        <f t="shared" si="0"/>
        <v>5</v>
      </c>
      <c r="R13" s="560">
        <f t="shared" si="0"/>
        <v>107235</v>
      </c>
      <c r="S13" s="560">
        <f t="shared" si="0"/>
        <v>0</v>
      </c>
      <c r="T13" s="560">
        <f t="shared" si="0"/>
        <v>107235</v>
      </c>
      <c r="U13" s="805"/>
    </row>
    <row r="14" spans="1:21" s="562" customFormat="1" ht="56.25" customHeight="1">
      <c r="A14" s="1098" t="s">
        <v>325</v>
      </c>
      <c r="B14" s="1099"/>
      <c r="C14" s="796">
        <f aca="true" t="shared" si="1" ref="C14:T14">SUM(C15:C35)</f>
        <v>4</v>
      </c>
      <c r="D14" s="796">
        <f t="shared" si="1"/>
        <v>0</v>
      </c>
      <c r="E14" s="796">
        <f t="shared" si="1"/>
        <v>4</v>
      </c>
      <c r="F14" s="796">
        <f t="shared" si="1"/>
        <v>0</v>
      </c>
      <c r="G14" s="796">
        <f t="shared" si="1"/>
        <v>0</v>
      </c>
      <c r="H14" s="796">
        <f t="shared" si="1"/>
        <v>0</v>
      </c>
      <c r="I14" s="796">
        <f t="shared" si="1"/>
        <v>0</v>
      </c>
      <c r="J14" s="796">
        <f t="shared" si="1"/>
        <v>0</v>
      </c>
      <c r="K14" s="796">
        <f t="shared" si="1"/>
        <v>0</v>
      </c>
      <c r="L14" s="796">
        <f t="shared" si="1"/>
        <v>0</v>
      </c>
      <c r="M14" s="796">
        <f t="shared" si="1"/>
        <v>2</v>
      </c>
      <c r="N14" s="796">
        <f t="shared" si="1"/>
        <v>30835</v>
      </c>
      <c r="O14" s="796">
        <f t="shared" si="1"/>
        <v>2</v>
      </c>
      <c r="P14" s="796">
        <f t="shared" si="1"/>
        <v>0</v>
      </c>
      <c r="Q14" s="796">
        <f t="shared" si="1"/>
        <v>2</v>
      </c>
      <c r="R14" s="796">
        <f t="shared" si="1"/>
        <v>30835</v>
      </c>
      <c r="S14" s="796">
        <f t="shared" si="1"/>
        <v>0</v>
      </c>
      <c r="T14" s="796">
        <f t="shared" si="1"/>
        <v>30835</v>
      </c>
      <c r="U14" s="561"/>
    </row>
    <row r="15" spans="1:21" s="345" customFormat="1" ht="18" customHeight="1">
      <c r="A15" s="639">
        <v>1</v>
      </c>
      <c r="B15" s="110" t="s">
        <v>479</v>
      </c>
      <c r="C15" s="795">
        <v>1</v>
      </c>
      <c r="D15" s="795"/>
      <c r="E15" s="788">
        <v>1</v>
      </c>
      <c r="F15" s="302">
        <f>G15+H15</f>
        <v>0</v>
      </c>
      <c r="G15" s="564"/>
      <c r="H15" s="565"/>
      <c r="I15" s="565"/>
      <c r="J15" s="302">
        <f>K15+L15</f>
        <v>0</v>
      </c>
      <c r="K15" s="564"/>
      <c r="L15" s="565"/>
      <c r="M15" s="565"/>
      <c r="N15" s="565"/>
      <c r="O15" s="302"/>
      <c r="P15" s="564"/>
      <c r="Q15" s="565"/>
      <c r="R15" s="302"/>
      <c r="S15" s="566"/>
      <c r="T15" s="567"/>
      <c r="U15" s="56"/>
    </row>
    <row r="16" spans="1:21" s="345" customFormat="1" ht="18" customHeight="1">
      <c r="A16" s="639">
        <v>2</v>
      </c>
      <c r="B16" s="111" t="s">
        <v>480</v>
      </c>
      <c r="C16" s="780">
        <v>0</v>
      </c>
      <c r="D16" s="780">
        <v>0</v>
      </c>
      <c r="E16" s="780">
        <v>0</v>
      </c>
      <c r="F16" s="778">
        <f>G16+H16</f>
        <v>0</v>
      </c>
      <c r="G16" s="780"/>
      <c r="H16" s="780">
        <v>0</v>
      </c>
      <c r="I16" s="780">
        <v>0</v>
      </c>
      <c r="J16" s="778">
        <f>K16+L16</f>
        <v>0</v>
      </c>
      <c r="K16" s="780"/>
      <c r="L16" s="780">
        <v>0</v>
      </c>
      <c r="M16" s="565">
        <v>2</v>
      </c>
      <c r="N16" s="780">
        <v>30835</v>
      </c>
      <c r="O16" s="302">
        <f>P16+Q16</f>
        <v>2</v>
      </c>
      <c r="P16" s="565"/>
      <c r="Q16" s="565">
        <v>2</v>
      </c>
      <c r="R16" s="302">
        <f>S16+T16</f>
        <v>30835</v>
      </c>
      <c r="S16" s="568"/>
      <c r="T16" s="781">
        <v>30835</v>
      </c>
      <c r="U16" s="56"/>
    </row>
    <row r="17" spans="1:21" s="345" customFormat="1" ht="31.5">
      <c r="A17" s="639">
        <v>3</v>
      </c>
      <c r="B17" s="112" t="s">
        <v>465</v>
      </c>
      <c r="C17" s="565">
        <v>0</v>
      </c>
      <c r="D17" s="565">
        <v>0</v>
      </c>
      <c r="E17" s="565">
        <v>0</v>
      </c>
      <c r="F17" s="302">
        <f>G17+H17</f>
        <v>0</v>
      </c>
      <c r="G17" s="565"/>
      <c r="H17" s="565">
        <v>0</v>
      </c>
      <c r="I17" s="565">
        <v>0</v>
      </c>
      <c r="J17" s="302">
        <f>K17+L17</f>
        <v>0</v>
      </c>
      <c r="K17" s="565"/>
      <c r="L17" s="565">
        <v>0</v>
      </c>
      <c r="M17" s="565">
        <v>0</v>
      </c>
      <c r="N17" s="565">
        <v>0</v>
      </c>
      <c r="O17" s="302">
        <f>P17+Q17</f>
        <v>0</v>
      </c>
      <c r="P17" s="565"/>
      <c r="Q17" s="565">
        <v>0</v>
      </c>
      <c r="R17" s="302">
        <f>S17+T17</f>
        <v>0</v>
      </c>
      <c r="S17" s="568"/>
      <c r="T17" s="567">
        <v>0</v>
      </c>
      <c r="U17" s="56"/>
    </row>
    <row r="18" spans="1:21" s="345" customFormat="1" ht="31.5">
      <c r="A18" s="639">
        <v>4</v>
      </c>
      <c r="B18" s="111" t="s">
        <v>350</v>
      </c>
      <c r="C18" s="733"/>
      <c r="D18" s="734"/>
      <c r="E18" s="563"/>
      <c r="F18" s="302"/>
      <c r="G18" s="564"/>
      <c r="H18" s="565"/>
      <c r="I18" s="565"/>
      <c r="J18" s="302"/>
      <c r="K18" s="564"/>
      <c r="L18" s="565"/>
      <c r="M18" s="565"/>
      <c r="N18" s="565"/>
      <c r="O18" s="302"/>
      <c r="P18" s="564"/>
      <c r="Q18" s="565"/>
      <c r="R18" s="302"/>
      <c r="S18" s="566"/>
      <c r="T18" s="567"/>
      <c r="U18" s="56"/>
    </row>
    <row r="19" spans="1:21" s="345" customFormat="1" ht="31.5">
      <c r="A19" s="639">
        <v>5</v>
      </c>
      <c r="B19" s="111" t="s">
        <v>355</v>
      </c>
      <c r="C19" s="565">
        <v>0</v>
      </c>
      <c r="D19" s="565">
        <v>0</v>
      </c>
      <c r="E19" s="565">
        <v>0</v>
      </c>
      <c r="F19" s="302">
        <f>G19+H19</f>
        <v>0</v>
      </c>
      <c r="G19" s="565"/>
      <c r="H19" s="565">
        <v>0</v>
      </c>
      <c r="I19" s="565">
        <v>0</v>
      </c>
      <c r="J19" s="302">
        <f>K19+L19</f>
        <v>0</v>
      </c>
      <c r="K19" s="565"/>
      <c r="L19" s="565">
        <v>0</v>
      </c>
      <c r="M19" s="565">
        <v>0</v>
      </c>
      <c r="N19" s="565">
        <v>0</v>
      </c>
      <c r="O19" s="302">
        <f>P19+Q19</f>
        <v>0</v>
      </c>
      <c r="P19" s="565"/>
      <c r="Q19" s="565">
        <v>0</v>
      </c>
      <c r="R19" s="302">
        <f>S19+T19</f>
        <v>0</v>
      </c>
      <c r="S19" s="568"/>
      <c r="T19" s="567">
        <v>0</v>
      </c>
      <c r="U19" s="56"/>
    </row>
    <row r="20" spans="1:21" s="345" customFormat="1" ht="31.5">
      <c r="A20" s="639">
        <v>6</v>
      </c>
      <c r="B20" s="111" t="s">
        <v>356</v>
      </c>
      <c r="C20" s="565">
        <v>0</v>
      </c>
      <c r="D20" s="565">
        <v>0</v>
      </c>
      <c r="E20" s="565">
        <v>0</v>
      </c>
      <c r="F20" s="302">
        <f>G20+H20</f>
        <v>0</v>
      </c>
      <c r="G20" s="565"/>
      <c r="H20" s="565">
        <v>0</v>
      </c>
      <c r="I20" s="565">
        <v>0</v>
      </c>
      <c r="J20" s="302">
        <f>K20+L20</f>
        <v>0</v>
      </c>
      <c r="K20" s="565"/>
      <c r="L20" s="565">
        <v>0</v>
      </c>
      <c r="M20" s="565">
        <v>0</v>
      </c>
      <c r="N20" s="565">
        <v>0</v>
      </c>
      <c r="O20" s="302">
        <f>P20+Q20</f>
        <v>0</v>
      </c>
      <c r="P20" s="565"/>
      <c r="Q20" s="565">
        <v>0</v>
      </c>
      <c r="R20" s="302">
        <f>S20+T20</f>
        <v>0</v>
      </c>
      <c r="S20" s="568"/>
      <c r="T20" s="567">
        <v>0</v>
      </c>
      <c r="U20" s="56"/>
    </row>
    <row r="21" spans="1:21" s="345" customFormat="1" ht="47.25">
      <c r="A21" s="639">
        <v>7</v>
      </c>
      <c r="B21" s="111" t="s">
        <v>481</v>
      </c>
      <c r="C21" s="733"/>
      <c r="D21" s="734"/>
      <c r="E21" s="563"/>
      <c r="F21" s="302"/>
      <c r="G21" s="564"/>
      <c r="H21" s="565"/>
      <c r="I21" s="565"/>
      <c r="J21" s="302"/>
      <c r="K21" s="564"/>
      <c r="L21" s="565"/>
      <c r="M21" s="565"/>
      <c r="N21" s="565"/>
      <c r="O21" s="302"/>
      <c r="P21" s="564"/>
      <c r="Q21" s="565"/>
      <c r="R21" s="302"/>
      <c r="S21" s="566"/>
      <c r="T21" s="567"/>
      <c r="U21" s="56"/>
    </row>
    <row r="22" spans="1:21" s="345" customFormat="1" ht="15.75">
      <c r="A22" s="639">
        <v>8</v>
      </c>
      <c r="B22" s="113" t="s">
        <v>482</v>
      </c>
      <c r="C22" s="733"/>
      <c r="D22" s="735"/>
      <c r="E22" s="563"/>
      <c r="F22" s="302"/>
      <c r="G22" s="564"/>
      <c r="H22" s="565"/>
      <c r="I22" s="565"/>
      <c r="J22" s="302"/>
      <c r="K22" s="564"/>
      <c r="L22" s="565"/>
      <c r="M22" s="565"/>
      <c r="N22" s="565"/>
      <c r="O22" s="302"/>
      <c r="P22" s="564"/>
      <c r="Q22" s="565"/>
      <c r="R22" s="302"/>
      <c r="S22" s="566"/>
      <c r="T22" s="567"/>
      <c r="U22" s="56"/>
    </row>
    <row r="23" spans="1:21" s="345" customFormat="1" ht="15.75">
      <c r="A23" s="639">
        <v>9</v>
      </c>
      <c r="B23" s="114" t="s">
        <v>483</v>
      </c>
      <c r="C23" s="733"/>
      <c r="D23" s="736"/>
      <c r="E23" s="563"/>
      <c r="F23" s="302"/>
      <c r="G23" s="564"/>
      <c r="H23" s="565"/>
      <c r="I23" s="565"/>
      <c r="J23" s="302"/>
      <c r="K23" s="564"/>
      <c r="L23" s="565"/>
      <c r="M23" s="565"/>
      <c r="N23" s="565"/>
      <c r="O23" s="302"/>
      <c r="P23" s="564"/>
      <c r="Q23" s="565"/>
      <c r="R23" s="302"/>
      <c r="S23" s="566"/>
      <c r="T23" s="567"/>
      <c r="U23" s="56"/>
    </row>
    <row r="24" spans="1:21" s="345" customFormat="1" ht="47.25">
      <c r="A24" s="639">
        <v>10</v>
      </c>
      <c r="B24" s="111" t="s">
        <v>484</v>
      </c>
      <c r="C24" s="565">
        <v>0</v>
      </c>
      <c r="D24" s="565">
        <v>0</v>
      </c>
      <c r="E24" s="565">
        <v>0</v>
      </c>
      <c r="F24" s="302">
        <f>G24+H24</f>
        <v>0</v>
      </c>
      <c r="G24" s="565"/>
      <c r="H24" s="565">
        <v>0</v>
      </c>
      <c r="I24" s="565">
        <v>0</v>
      </c>
      <c r="J24" s="302">
        <f>K24+L24</f>
        <v>0</v>
      </c>
      <c r="K24" s="565"/>
      <c r="L24" s="565">
        <v>0</v>
      </c>
      <c r="M24" s="565">
        <v>0</v>
      </c>
      <c r="N24" s="565">
        <v>0</v>
      </c>
      <c r="O24" s="302">
        <f>P24+Q24</f>
        <v>0</v>
      </c>
      <c r="P24" s="565"/>
      <c r="Q24" s="565">
        <v>0</v>
      </c>
      <c r="R24" s="302">
        <f>S24+T24</f>
        <v>0</v>
      </c>
      <c r="S24" s="568"/>
      <c r="T24" s="567">
        <v>0</v>
      </c>
      <c r="U24" s="56"/>
    </row>
    <row r="25" spans="1:21" s="345" customFormat="1" ht="15.75">
      <c r="A25" s="639">
        <v>11</v>
      </c>
      <c r="B25" s="113" t="s">
        <v>447</v>
      </c>
      <c r="C25" s="565">
        <v>0</v>
      </c>
      <c r="D25" s="565">
        <v>0</v>
      </c>
      <c r="E25" s="565">
        <v>0</v>
      </c>
      <c r="F25" s="302">
        <f>G25+H25</f>
        <v>0</v>
      </c>
      <c r="G25" s="565"/>
      <c r="H25" s="565">
        <v>0</v>
      </c>
      <c r="I25" s="565">
        <v>0</v>
      </c>
      <c r="J25" s="302">
        <f>K25+L25</f>
        <v>0</v>
      </c>
      <c r="K25" s="565"/>
      <c r="L25" s="565">
        <v>0</v>
      </c>
      <c r="M25" s="565">
        <v>0</v>
      </c>
      <c r="N25" s="565">
        <v>0</v>
      </c>
      <c r="O25" s="302">
        <f>P25+Q25</f>
        <v>0</v>
      </c>
      <c r="P25" s="564"/>
      <c r="Q25" s="565">
        <v>0</v>
      </c>
      <c r="R25" s="302">
        <f>S25+T25</f>
        <v>0</v>
      </c>
      <c r="S25" s="568"/>
      <c r="T25" s="567">
        <v>0</v>
      </c>
      <c r="U25" s="56"/>
    </row>
    <row r="26" spans="1:21" s="345" customFormat="1" ht="18" customHeight="1">
      <c r="A26" s="639">
        <v>12</v>
      </c>
      <c r="B26" s="111" t="s">
        <v>357</v>
      </c>
      <c r="C26" s="786">
        <v>3</v>
      </c>
      <c r="D26" s="787"/>
      <c r="E26" s="788">
        <v>3</v>
      </c>
      <c r="F26" s="302"/>
      <c r="G26" s="564"/>
      <c r="H26" s="565">
        <v>0</v>
      </c>
      <c r="I26" s="565">
        <v>0</v>
      </c>
      <c r="J26" s="302"/>
      <c r="K26" s="564"/>
      <c r="L26" s="565"/>
      <c r="M26" s="565">
        <v>0</v>
      </c>
      <c r="N26" s="565">
        <v>0</v>
      </c>
      <c r="O26" s="302">
        <f>P26+Q26</f>
        <v>0</v>
      </c>
      <c r="P26" s="565"/>
      <c r="Q26" s="565">
        <v>0</v>
      </c>
      <c r="R26" s="302">
        <f>S26+T26</f>
        <v>0</v>
      </c>
      <c r="S26" s="568"/>
      <c r="T26" s="567">
        <v>0</v>
      </c>
      <c r="U26" s="56"/>
    </row>
    <row r="27" spans="1:21" s="345" customFormat="1" ht="28.5" customHeight="1">
      <c r="A27" s="639">
        <v>13</v>
      </c>
      <c r="B27" s="113" t="s">
        <v>358</v>
      </c>
      <c r="C27" s="565">
        <v>0</v>
      </c>
      <c r="D27" s="565">
        <v>0</v>
      </c>
      <c r="E27" s="565">
        <v>0</v>
      </c>
      <c r="F27" s="302">
        <f>G27+H27</f>
        <v>0</v>
      </c>
      <c r="G27" s="565"/>
      <c r="H27" s="565">
        <v>0</v>
      </c>
      <c r="I27" s="565">
        <v>0</v>
      </c>
      <c r="J27" s="302">
        <f>K27+L27</f>
        <v>0</v>
      </c>
      <c r="K27" s="565"/>
      <c r="L27" s="565">
        <v>0</v>
      </c>
      <c r="M27" s="565">
        <v>0</v>
      </c>
      <c r="N27" s="565">
        <v>0</v>
      </c>
      <c r="O27" s="302">
        <f>P27+Q27</f>
        <v>0</v>
      </c>
      <c r="P27" s="564"/>
      <c r="Q27" s="565">
        <v>0</v>
      </c>
      <c r="R27" s="302">
        <f>S27+T27</f>
        <v>0</v>
      </c>
      <c r="S27" s="568"/>
      <c r="T27" s="567">
        <v>0</v>
      </c>
      <c r="U27" s="56"/>
    </row>
    <row r="28" spans="1:21" s="345" customFormat="1" ht="31.5">
      <c r="A28" s="639">
        <v>14</v>
      </c>
      <c r="B28" s="111" t="s">
        <v>359</v>
      </c>
      <c r="C28" s="565">
        <v>0</v>
      </c>
      <c r="D28" s="565">
        <v>0</v>
      </c>
      <c r="E28" s="565">
        <v>0</v>
      </c>
      <c r="F28" s="302">
        <f>G28+H28</f>
        <v>0</v>
      </c>
      <c r="G28" s="565"/>
      <c r="H28" s="565">
        <v>0</v>
      </c>
      <c r="I28" s="565">
        <v>0</v>
      </c>
      <c r="J28" s="302">
        <f>K28+L28</f>
        <v>0</v>
      </c>
      <c r="K28" s="565"/>
      <c r="L28" s="565">
        <v>0</v>
      </c>
      <c r="M28" s="565">
        <v>0</v>
      </c>
      <c r="N28" s="565">
        <v>0</v>
      </c>
      <c r="O28" s="302">
        <f>P28+Q28</f>
        <v>0</v>
      </c>
      <c r="P28" s="565"/>
      <c r="Q28" s="565">
        <v>0</v>
      </c>
      <c r="R28" s="302">
        <f>S28+T28</f>
        <v>0</v>
      </c>
      <c r="S28" s="568"/>
      <c r="T28" s="567">
        <v>0</v>
      </c>
      <c r="U28" s="56"/>
    </row>
    <row r="29" spans="1:21" s="345" customFormat="1" ht="18" customHeight="1">
      <c r="A29" s="639">
        <v>15</v>
      </c>
      <c r="B29" s="113" t="s">
        <v>485</v>
      </c>
      <c r="C29" s="733"/>
      <c r="D29" s="735"/>
      <c r="E29" s="563"/>
      <c r="F29" s="302"/>
      <c r="G29" s="564"/>
      <c r="H29" s="565"/>
      <c r="I29" s="565"/>
      <c r="J29" s="302"/>
      <c r="K29" s="564"/>
      <c r="L29" s="565"/>
      <c r="M29" s="565"/>
      <c r="N29" s="565"/>
      <c r="O29" s="302"/>
      <c r="P29" s="564"/>
      <c r="Q29" s="565"/>
      <c r="R29" s="302"/>
      <c r="S29" s="566"/>
      <c r="T29" s="567"/>
      <c r="U29" s="56"/>
    </row>
    <row r="30" spans="1:21" s="345" customFormat="1" ht="32.25" customHeight="1">
      <c r="A30" s="639">
        <v>16</v>
      </c>
      <c r="B30" s="111" t="s">
        <v>486</v>
      </c>
      <c r="C30" s="565">
        <v>0</v>
      </c>
      <c r="D30" s="565">
        <v>0</v>
      </c>
      <c r="E30" s="565">
        <v>0</v>
      </c>
      <c r="F30" s="302">
        <f>G30+H30</f>
        <v>0</v>
      </c>
      <c r="G30" s="565"/>
      <c r="H30" s="565">
        <v>0</v>
      </c>
      <c r="I30" s="565">
        <v>0</v>
      </c>
      <c r="J30" s="302">
        <f>K30+L30</f>
        <v>0</v>
      </c>
      <c r="K30" s="565"/>
      <c r="L30" s="565">
        <v>0</v>
      </c>
      <c r="M30" s="565">
        <v>0</v>
      </c>
      <c r="N30" s="565">
        <v>0</v>
      </c>
      <c r="O30" s="302">
        <f>P30+Q30</f>
        <v>0</v>
      </c>
      <c r="P30" s="565"/>
      <c r="Q30" s="565">
        <v>0</v>
      </c>
      <c r="R30" s="302">
        <f>S30+T30</f>
        <v>0</v>
      </c>
      <c r="S30" s="568"/>
      <c r="T30" s="567">
        <v>0</v>
      </c>
      <c r="U30" s="56"/>
    </row>
    <row r="31" spans="1:21" s="345" customFormat="1" ht="15.75">
      <c r="A31" s="639">
        <v>17</v>
      </c>
      <c r="B31" s="111" t="s">
        <v>487</v>
      </c>
      <c r="C31" s="733"/>
      <c r="D31" s="734"/>
      <c r="E31" s="563"/>
      <c r="F31" s="302"/>
      <c r="G31" s="564"/>
      <c r="H31" s="565"/>
      <c r="I31" s="565"/>
      <c r="J31" s="302"/>
      <c r="K31" s="564"/>
      <c r="L31" s="565"/>
      <c r="M31" s="565"/>
      <c r="N31" s="565"/>
      <c r="O31" s="302"/>
      <c r="P31" s="564"/>
      <c r="Q31" s="565"/>
      <c r="R31" s="302"/>
      <c r="S31" s="566"/>
      <c r="T31" s="567"/>
      <c r="U31" s="56"/>
    </row>
    <row r="32" spans="1:21" s="345" customFormat="1" ht="15.75">
      <c r="A32" s="639">
        <v>18</v>
      </c>
      <c r="B32" s="111" t="s">
        <v>360</v>
      </c>
      <c r="C32" s="565">
        <v>0</v>
      </c>
      <c r="D32" s="565">
        <v>0</v>
      </c>
      <c r="E32" s="565">
        <v>0</v>
      </c>
      <c r="F32" s="302">
        <f>G32+H32</f>
        <v>0</v>
      </c>
      <c r="G32" s="565"/>
      <c r="H32" s="565">
        <v>0</v>
      </c>
      <c r="I32" s="565">
        <v>0</v>
      </c>
      <c r="J32" s="302">
        <f>K32+L32</f>
        <v>0</v>
      </c>
      <c r="K32" s="565"/>
      <c r="L32" s="565">
        <v>0</v>
      </c>
      <c r="M32" s="565">
        <v>0</v>
      </c>
      <c r="N32" s="565">
        <v>0</v>
      </c>
      <c r="O32" s="302">
        <f>P32+Q32</f>
        <v>0</v>
      </c>
      <c r="P32" s="565"/>
      <c r="Q32" s="565">
        <v>0</v>
      </c>
      <c r="R32" s="302">
        <f>S32+T32</f>
        <v>0</v>
      </c>
      <c r="S32" s="568"/>
      <c r="T32" s="567">
        <v>0</v>
      </c>
      <c r="U32" s="56"/>
    </row>
    <row r="33" spans="1:21" s="345" customFormat="1" ht="31.5">
      <c r="A33" s="639">
        <v>19</v>
      </c>
      <c r="B33" s="111" t="s">
        <v>488</v>
      </c>
      <c r="C33" s="733"/>
      <c r="D33" s="734"/>
      <c r="E33" s="563"/>
      <c r="F33" s="302"/>
      <c r="G33" s="564"/>
      <c r="H33" s="565"/>
      <c r="I33" s="565"/>
      <c r="J33" s="302"/>
      <c r="K33" s="564"/>
      <c r="L33" s="565"/>
      <c r="M33" s="565"/>
      <c r="N33" s="565"/>
      <c r="O33" s="302"/>
      <c r="P33" s="564"/>
      <c r="Q33" s="565"/>
      <c r="R33" s="302"/>
      <c r="S33" s="566"/>
      <c r="T33" s="567"/>
      <c r="U33" s="56"/>
    </row>
    <row r="34" spans="1:21" s="345" customFormat="1" ht="15.75">
      <c r="A34" s="639">
        <v>20</v>
      </c>
      <c r="B34" s="114" t="s">
        <v>361</v>
      </c>
      <c r="C34" s="733"/>
      <c r="D34" s="736"/>
      <c r="E34" s="563"/>
      <c r="F34" s="302"/>
      <c r="G34" s="564"/>
      <c r="H34" s="565"/>
      <c r="I34" s="565"/>
      <c r="J34" s="302"/>
      <c r="K34" s="564"/>
      <c r="L34" s="565"/>
      <c r="M34" s="565"/>
      <c r="N34" s="565"/>
      <c r="O34" s="302"/>
      <c r="P34" s="564"/>
      <c r="Q34" s="565"/>
      <c r="R34" s="302"/>
      <c r="S34" s="566"/>
      <c r="T34" s="567"/>
      <c r="U34" s="56"/>
    </row>
    <row r="35" spans="1:21" s="345" customFormat="1" ht="18" customHeight="1">
      <c r="A35" s="639">
        <v>21</v>
      </c>
      <c r="B35" s="113" t="s">
        <v>489</v>
      </c>
      <c r="C35" s="565">
        <v>0</v>
      </c>
      <c r="D35" s="565">
        <v>0</v>
      </c>
      <c r="E35" s="565">
        <v>0</v>
      </c>
      <c r="F35" s="302">
        <f>G35+H35</f>
        <v>0</v>
      </c>
      <c r="G35" s="565"/>
      <c r="H35" s="565">
        <v>0</v>
      </c>
      <c r="I35" s="565">
        <v>0</v>
      </c>
      <c r="J35" s="302">
        <f>K35+L35</f>
        <v>0</v>
      </c>
      <c r="K35" s="565"/>
      <c r="L35" s="565">
        <v>0</v>
      </c>
      <c r="M35" s="565">
        <v>0</v>
      </c>
      <c r="N35" s="565">
        <v>0</v>
      </c>
      <c r="O35" s="302">
        <f>P35+Q35</f>
        <v>0</v>
      </c>
      <c r="P35" s="565"/>
      <c r="Q35" s="565">
        <v>0</v>
      </c>
      <c r="R35" s="302">
        <f>S35+T35</f>
        <v>0</v>
      </c>
      <c r="S35" s="568"/>
      <c r="T35" s="567">
        <v>0</v>
      </c>
      <c r="U35" s="56"/>
    </row>
    <row r="36" spans="1:21" s="345" customFormat="1" ht="34.5" customHeight="1">
      <c r="A36" s="1096" t="s">
        <v>247</v>
      </c>
      <c r="B36" s="1096"/>
      <c r="C36" s="737">
        <f aca="true" t="shared" si="2" ref="C36:T36">SUM(C37:C99)</f>
        <v>13</v>
      </c>
      <c r="D36" s="737">
        <f t="shared" si="2"/>
        <v>0</v>
      </c>
      <c r="E36" s="569">
        <f t="shared" si="2"/>
        <v>13</v>
      </c>
      <c r="F36" s="738">
        <f t="shared" si="2"/>
        <v>6</v>
      </c>
      <c r="G36" s="738">
        <f t="shared" si="2"/>
        <v>0</v>
      </c>
      <c r="H36" s="569">
        <f t="shared" si="2"/>
        <v>6</v>
      </c>
      <c r="I36" s="524">
        <f t="shared" si="2"/>
        <v>528321</v>
      </c>
      <c r="J36" s="570">
        <f t="shared" si="2"/>
        <v>353049</v>
      </c>
      <c r="K36" s="524">
        <f t="shared" si="2"/>
        <v>0</v>
      </c>
      <c r="L36" s="524">
        <f t="shared" si="2"/>
        <v>353049</v>
      </c>
      <c r="M36" s="569">
        <f t="shared" si="2"/>
        <v>5</v>
      </c>
      <c r="N36" s="569">
        <f t="shared" si="2"/>
        <v>280631</v>
      </c>
      <c r="O36" s="569">
        <f t="shared" si="2"/>
        <v>4.5</v>
      </c>
      <c r="P36" s="569">
        <f t="shared" si="2"/>
        <v>1.5</v>
      </c>
      <c r="Q36" s="569">
        <f t="shared" si="2"/>
        <v>3</v>
      </c>
      <c r="R36" s="524">
        <f t="shared" si="2"/>
        <v>76400</v>
      </c>
      <c r="S36" s="524">
        <f t="shared" si="2"/>
        <v>0</v>
      </c>
      <c r="T36" s="524">
        <f t="shared" si="2"/>
        <v>76400</v>
      </c>
      <c r="U36" s="56"/>
    </row>
    <row r="37" spans="1:21" s="345" customFormat="1" ht="19.5" customHeight="1">
      <c r="A37" s="59">
        <v>1</v>
      </c>
      <c r="B37" s="528" t="s">
        <v>449</v>
      </c>
      <c r="C37" s="285" t="s">
        <v>527</v>
      </c>
      <c r="D37" s="285" t="s">
        <v>527</v>
      </c>
      <c r="E37" s="285" t="s">
        <v>527</v>
      </c>
      <c r="F37" s="302" t="s">
        <v>527</v>
      </c>
      <c r="G37" s="564" t="s">
        <v>527</v>
      </c>
      <c r="H37" s="285" t="s">
        <v>527</v>
      </c>
      <c r="I37" s="285" t="s">
        <v>527</v>
      </c>
      <c r="J37" s="302" t="s">
        <v>527</v>
      </c>
      <c r="K37" s="564" t="s">
        <v>527</v>
      </c>
      <c r="L37" s="285" t="s">
        <v>527</v>
      </c>
      <c r="M37" s="285" t="s">
        <v>527</v>
      </c>
      <c r="N37" s="285" t="s">
        <v>527</v>
      </c>
      <c r="O37" s="302" t="s">
        <v>527</v>
      </c>
      <c r="P37" s="564" t="s">
        <v>527</v>
      </c>
      <c r="Q37" s="285" t="s">
        <v>527</v>
      </c>
      <c r="R37" s="302" t="s">
        <v>527</v>
      </c>
      <c r="S37" s="571" t="s">
        <v>527</v>
      </c>
      <c r="T37" s="285" t="s">
        <v>527</v>
      </c>
      <c r="U37" s="56"/>
    </row>
    <row r="38" spans="1:21" s="345" customFormat="1" ht="19.5" customHeight="1">
      <c r="A38" s="59">
        <v>2</v>
      </c>
      <c r="B38" s="528" t="s">
        <v>233</v>
      </c>
      <c r="C38" s="285" t="s">
        <v>527</v>
      </c>
      <c r="D38" s="285" t="s">
        <v>527</v>
      </c>
      <c r="E38" s="285" t="s">
        <v>527</v>
      </c>
      <c r="F38" s="302" t="s">
        <v>527</v>
      </c>
      <c r="G38" s="564" t="s">
        <v>527</v>
      </c>
      <c r="H38" s="285" t="s">
        <v>527</v>
      </c>
      <c r="I38" s="285" t="s">
        <v>527</v>
      </c>
      <c r="J38" s="302" t="s">
        <v>527</v>
      </c>
      <c r="K38" s="564" t="s">
        <v>527</v>
      </c>
      <c r="L38" s="285" t="s">
        <v>527</v>
      </c>
      <c r="M38" s="285" t="s">
        <v>527</v>
      </c>
      <c r="N38" s="285" t="s">
        <v>527</v>
      </c>
      <c r="O38" s="302" t="s">
        <v>527</v>
      </c>
      <c r="P38" s="564" t="s">
        <v>527</v>
      </c>
      <c r="Q38" s="285" t="s">
        <v>527</v>
      </c>
      <c r="R38" s="302" t="s">
        <v>527</v>
      </c>
      <c r="S38" s="571" t="s">
        <v>527</v>
      </c>
      <c r="T38" s="285" t="s">
        <v>527</v>
      </c>
      <c r="U38" s="56"/>
    </row>
    <row r="39" spans="1:21" s="345" customFormat="1" ht="19.5" customHeight="1">
      <c r="A39" s="59">
        <v>3</v>
      </c>
      <c r="B39" s="528" t="s">
        <v>451</v>
      </c>
      <c r="C39" s="285" t="s">
        <v>527</v>
      </c>
      <c r="D39" s="285" t="s">
        <v>527</v>
      </c>
      <c r="E39" s="285" t="s">
        <v>527</v>
      </c>
      <c r="F39" s="302" t="s">
        <v>527</v>
      </c>
      <c r="G39" s="564" t="s">
        <v>527</v>
      </c>
      <c r="H39" s="285" t="s">
        <v>527</v>
      </c>
      <c r="I39" s="285" t="s">
        <v>527</v>
      </c>
      <c r="J39" s="302" t="s">
        <v>527</v>
      </c>
      <c r="K39" s="564" t="s">
        <v>527</v>
      </c>
      <c r="L39" s="285" t="s">
        <v>527</v>
      </c>
      <c r="M39" s="285" t="s">
        <v>527</v>
      </c>
      <c r="N39" s="285" t="s">
        <v>527</v>
      </c>
      <c r="O39" s="302" t="s">
        <v>527</v>
      </c>
      <c r="P39" s="564" t="s">
        <v>527</v>
      </c>
      <c r="Q39" s="285" t="s">
        <v>527</v>
      </c>
      <c r="R39" s="302" t="s">
        <v>527</v>
      </c>
      <c r="S39" s="571" t="s">
        <v>527</v>
      </c>
      <c r="T39" s="285" t="s">
        <v>527</v>
      </c>
      <c r="U39" s="56"/>
    </row>
    <row r="40" spans="1:21" s="345" customFormat="1" ht="19.5" customHeight="1">
      <c r="A40" s="59">
        <v>4</v>
      </c>
      <c r="B40" s="534" t="s">
        <v>452</v>
      </c>
      <c r="C40" s="285" t="s">
        <v>527</v>
      </c>
      <c r="D40" s="285" t="s">
        <v>527</v>
      </c>
      <c r="E40" s="285" t="s">
        <v>527</v>
      </c>
      <c r="F40" s="302" t="s">
        <v>527</v>
      </c>
      <c r="G40" s="564" t="s">
        <v>527</v>
      </c>
      <c r="H40" s="285" t="s">
        <v>527</v>
      </c>
      <c r="I40" s="285" t="s">
        <v>527</v>
      </c>
      <c r="J40" s="302" t="s">
        <v>527</v>
      </c>
      <c r="K40" s="564" t="s">
        <v>527</v>
      </c>
      <c r="L40" s="285" t="s">
        <v>527</v>
      </c>
      <c r="M40" s="285" t="s">
        <v>527</v>
      </c>
      <c r="N40" s="285" t="s">
        <v>527</v>
      </c>
      <c r="O40" s="302" t="s">
        <v>527</v>
      </c>
      <c r="P40" s="564" t="s">
        <v>527</v>
      </c>
      <c r="Q40" s="285" t="s">
        <v>527</v>
      </c>
      <c r="R40" s="302" t="s">
        <v>527</v>
      </c>
      <c r="S40" s="571" t="s">
        <v>527</v>
      </c>
      <c r="T40" s="285" t="s">
        <v>527</v>
      </c>
      <c r="U40" s="56"/>
    </row>
    <row r="41" spans="1:21" s="345" customFormat="1" ht="19.5" customHeight="1">
      <c r="A41" s="59">
        <v>5</v>
      </c>
      <c r="B41" s="534" t="s">
        <v>453</v>
      </c>
      <c r="C41" s="285" t="s">
        <v>527</v>
      </c>
      <c r="D41" s="285" t="s">
        <v>527</v>
      </c>
      <c r="E41" s="285" t="s">
        <v>527</v>
      </c>
      <c r="F41" s="302" t="s">
        <v>527</v>
      </c>
      <c r="G41" s="564" t="s">
        <v>527</v>
      </c>
      <c r="H41" s="285" t="s">
        <v>527</v>
      </c>
      <c r="I41" s="285" t="s">
        <v>527</v>
      </c>
      <c r="J41" s="302" t="s">
        <v>527</v>
      </c>
      <c r="K41" s="564" t="s">
        <v>527</v>
      </c>
      <c r="L41" s="285" t="s">
        <v>527</v>
      </c>
      <c r="M41" s="285" t="s">
        <v>527</v>
      </c>
      <c r="N41" s="285" t="s">
        <v>527</v>
      </c>
      <c r="O41" s="302" t="s">
        <v>527</v>
      </c>
      <c r="P41" s="564" t="s">
        <v>527</v>
      </c>
      <c r="Q41" s="285" t="s">
        <v>527</v>
      </c>
      <c r="R41" s="302" t="s">
        <v>527</v>
      </c>
      <c r="S41" s="571" t="s">
        <v>527</v>
      </c>
      <c r="T41" s="285" t="s">
        <v>527</v>
      </c>
      <c r="U41" s="56"/>
    </row>
    <row r="42" spans="1:21" s="345" customFormat="1" ht="19.5" customHeight="1">
      <c r="A42" s="59">
        <v>6</v>
      </c>
      <c r="B42" s="534" t="s">
        <v>454</v>
      </c>
      <c r="C42" s="285" t="s">
        <v>527</v>
      </c>
      <c r="D42" s="285" t="s">
        <v>527</v>
      </c>
      <c r="E42" s="285" t="s">
        <v>527</v>
      </c>
      <c r="F42" s="302" t="s">
        <v>527</v>
      </c>
      <c r="G42" s="564" t="s">
        <v>527</v>
      </c>
      <c r="H42" s="285" t="s">
        <v>527</v>
      </c>
      <c r="I42" s="285" t="s">
        <v>527</v>
      </c>
      <c r="J42" s="302" t="s">
        <v>527</v>
      </c>
      <c r="K42" s="564" t="s">
        <v>527</v>
      </c>
      <c r="L42" s="285" t="s">
        <v>527</v>
      </c>
      <c r="M42" s="285" t="s">
        <v>527</v>
      </c>
      <c r="N42" s="285" t="s">
        <v>527</v>
      </c>
      <c r="O42" s="302" t="s">
        <v>527</v>
      </c>
      <c r="P42" s="564" t="s">
        <v>527</v>
      </c>
      <c r="Q42" s="285" t="s">
        <v>527</v>
      </c>
      <c r="R42" s="302" t="s">
        <v>527</v>
      </c>
      <c r="S42" s="571" t="s">
        <v>527</v>
      </c>
      <c r="T42" s="285" t="s">
        <v>527</v>
      </c>
      <c r="U42" s="56"/>
    </row>
    <row r="43" spans="1:21" s="345" customFormat="1" ht="19.5" customHeight="1">
      <c r="A43" s="59">
        <v>7</v>
      </c>
      <c r="B43" s="534" t="s">
        <v>455</v>
      </c>
      <c r="C43" s="285" t="s">
        <v>527</v>
      </c>
      <c r="D43" s="285" t="s">
        <v>527</v>
      </c>
      <c r="E43" s="285" t="s">
        <v>527</v>
      </c>
      <c r="F43" s="302" t="s">
        <v>527</v>
      </c>
      <c r="G43" s="564" t="s">
        <v>527</v>
      </c>
      <c r="H43" s="285" t="s">
        <v>527</v>
      </c>
      <c r="I43" s="285" t="s">
        <v>527</v>
      </c>
      <c r="J43" s="302" t="s">
        <v>527</v>
      </c>
      <c r="K43" s="564" t="s">
        <v>527</v>
      </c>
      <c r="L43" s="285" t="s">
        <v>527</v>
      </c>
      <c r="M43" s="285" t="s">
        <v>527</v>
      </c>
      <c r="N43" s="285" t="s">
        <v>527</v>
      </c>
      <c r="O43" s="302" t="s">
        <v>527</v>
      </c>
      <c r="P43" s="564" t="s">
        <v>527</v>
      </c>
      <c r="Q43" s="285" t="s">
        <v>527</v>
      </c>
      <c r="R43" s="302" t="s">
        <v>527</v>
      </c>
      <c r="S43" s="571" t="s">
        <v>527</v>
      </c>
      <c r="T43" s="285" t="s">
        <v>527</v>
      </c>
      <c r="U43" s="56"/>
    </row>
    <row r="44" spans="1:21" s="345" customFormat="1" ht="19.5" customHeight="1">
      <c r="A44" s="59">
        <v>8</v>
      </c>
      <c r="B44" s="535" t="s">
        <v>456</v>
      </c>
      <c r="C44" s="285" t="s">
        <v>527</v>
      </c>
      <c r="D44" s="285" t="s">
        <v>527</v>
      </c>
      <c r="E44" s="285" t="s">
        <v>527</v>
      </c>
      <c r="F44" s="302" t="s">
        <v>527</v>
      </c>
      <c r="G44" s="564" t="s">
        <v>527</v>
      </c>
      <c r="H44" s="285" t="s">
        <v>527</v>
      </c>
      <c r="I44" s="285" t="s">
        <v>527</v>
      </c>
      <c r="J44" s="302" t="s">
        <v>527</v>
      </c>
      <c r="K44" s="564" t="s">
        <v>527</v>
      </c>
      <c r="L44" s="285" t="s">
        <v>527</v>
      </c>
      <c r="M44" s="285" t="s">
        <v>527</v>
      </c>
      <c r="N44" s="285" t="s">
        <v>527</v>
      </c>
      <c r="O44" s="302" t="s">
        <v>527</v>
      </c>
      <c r="P44" s="564" t="s">
        <v>527</v>
      </c>
      <c r="Q44" s="285" t="s">
        <v>527</v>
      </c>
      <c r="R44" s="302" t="s">
        <v>527</v>
      </c>
      <c r="S44" s="571" t="s">
        <v>527</v>
      </c>
      <c r="T44" s="285" t="s">
        <v>527</v>
      </c>
      <c r="U44" s="56"/>
    </row>
    <row r="45" spans="1:21" s="345" customFormat="1" ht="19.5" customHeight="1">
      <c r="A45" s="59">
        <v>9</v>
      </c>
      <c r="B45" s="534" t="s">
        <v>457</v>
      </c>
      <c r="C45" s="285" t="s">
        <v>527</v>
      </c>
      <c r="D45" s="285" t="s">
        <v>527</v>
      </c>
      <c r="E45" s="285">
        <v>0</v>
      </c>
      <c r="F45" s="302">
        <f>G45+H45</f>
        <v>0</v>
      </c>
      <c r="G45" s="564">
        <f>(H45/4)*2</f>
        <v>0</v>
      </c>
      <c r="H45" s="572">
        <v>0</v>
      </c>
      <c r="I45" s="572">
        <v>0</v>
      </c>
      <c r="J45" s="302">
        <f>K45+L45</f>
        <v>0</v>
      </c>
      <c r="K45" s="564">
        <f>(L45/4)*2</f>
        <v>0</v>
      </c>
      <c r="L45" s="572">
        <v>0</v>
      </c>
      <c r="M45" s="572">
        <v>2</v>
      </c>
      <c r="N45" s="572">
        <v>166441</v>
      </c>
      <c r="O45" s="778">
        <f>P45+Q45</f>
        <v>1.5</v>
      </c>
      <c r="P45" s="780">
        <f>(Q45/4)*2</f>
        <v>0.5</v>
      </c>
      <c r="Q45" s="782">
        <v>1</v>
      </c>
      <c r="R45" s="778"/>
      <c r="S45" s="789"/>
      <c r="T45" s="790"/>
      <c r="U45" s="56"/>
    </row>
    <row r="46" spans="1:21" s="345" customFormat="1" ht="19.5" customHeight="1">
      <c r="A46" s="59">
        <v>10</v>
      </c>
      <c r="B46" s="534" t="s">
        <v>362</v>
      </c>
      <c r="C46" s="285" t="s">
        <v>527</v>
      </c>
      <c r="D46" s="285" t="s">
        <v>527</v>
      </c>
      <c r="E46" s="285" t="s">
        <v>527</v>
      </c>
      <c r="F46" s="302" t="s">
        <v>527</v>
      </c>
      <c r="G46" s="564" t="s">
        <v>527</v>
      </c>
      <c r="H46" s="285" t="s">
        <v>527</v>
      </c>
      <c r="I46" s="285" t="s">
        <v>527</v>
      </c>
      <c r="J46" s="302" t="s">
        <v>527</v>
      </c>
      <c r="K46" s="564" t="s">
        <v>527</v>
      </c>
      <c r="L46" s="285" t="s">
        <v>527</v>
      </c>
      <c r="M46" s="285" t="s">
        <v>527</v>
      </c>
      <c r="N46" s="285" t="s">
        <v>527</v>
      </c>
      <c r="O46" s="302" t="s">
        <v>527</v>
      </c>
      <c r="P46" s="564" t="s">
        <v>527</v>
      </c>
      <c r="Q46" s="285" t="s">
        <v>527</v>
      </c>
      <c r="R46" s="302" t="s">
        <v>527</v>
      </c>
      <c r="S46" s="571" t="s">
        <v>527</v>
      </c>
      <c r="T46" s="285" t="s">
        <v>527</v>
      </c>
      <c r="U46" s="56"/>
    </row>
    <row r="47" spans="1:21" s="345" customFormat="1" ht="19.5" customHeight="1">
      <c r="A47" s="59">
        <v>11</v>
      </c>
      <c r="B47" s="534" t="s">
        <v>363</v>
      </c>
      <c r="C47" s="285" t="s">
        <v>527</v>
      </c>
      <c r="D47" s="285" t="s">
        <v>527</v>
      </c>
      <c r="E47" s="285" t="s">
        <v>527</v>
      </c>
      <c r="F47" s="302" t="s">
        <v>527</v>
      </c>
      <c r="G47" s="564" t="s">
        <v>527</v>
      </c>
      <c r="H47" s="285" t="s">
        <v>527</v>
      </c>
      <c r="I47" s="285" t="s">
        <v>527</v>
      </c>
      <c r="J47" s="302" t="s">
        <v>527</v>
      </c>
      <c r="K47" s="564" t="s">
        <v>527</v>
      </c>
      <c r="L47" s="285" t="s">
        <v>527</v>
      </c>
      <c r="M47" s="285" t="s">
        <v>527</v>
      </c>
      <c r="N47" s="285" t="s">
        <v>527</v>
      </c>
      <c r="O47" s="302" t="s">
        <v>527</v>
      </c>
      <c r="P47" s="564" t="s">
        <v>527</v>
      </c>
      <c r="Q47" s="285" t="s">
        <v>527</v>
      </c>
      <c r="R47" s="302" t="s">
        <v>527</v>
      </c>
      <c r="S47" s="571" t="s">
        <v>527</v>
      </c>
      <c r="T47" s="285" t="s">
        <v>527</v>
      </c>
      <c r="U47" s="56"/>
    </row>
    <row r="48" spans="1:21" s="345" customFormat="1" ht="19.5" customHeight="1">
      <c r="A48" s="59">
        <v>12</v>
      </c>
      <c r="B48" s="534" t="s">
        <v>364</v>
      </c>
      <c r="C48" s="794">
        <f>SUM(D48:E48)</f>
        <v>2</v>
      </c>
      <c r="D48" s="739"/>
      <c r="E48" s="785">
        <v>2</v>
      </c>
      <c r="F48" s="778">
        <f>G48+H48</f>
        <v>1</v>
      </c>
      <c r="G48" s="792"/>
      <c r="H48" s="782">
        <v>1</v>
      </c>
      <c r="I48" s="782">
        <v>259539</v>
      </c>
      <c r="J48" s="778">
        <f>K48+L48</f>
        <v>259539</v>
      </c>
      <c r="K48" s="780"/>
      <c r="L48" s="782">
        <v>259539</v>
      </c>
      <c r="M48" s="572">
        <v>0</v>
      </c>
      <c r="N48" s="572">
        <v>0</v>
      </c>
      <c r="O48" s="302">
        <f>P48+Q48</f>
        <v>0</v>
      </c>
      <c r="P48" s="564">
        <f>(Q48/4)*2</f>
        <v>0</v>
      </c>
      <c r="Q48" s="572">
        <v>0</v>
      </c>
      <c r="R48" s="302">
        <f>S48+T48</f>
        <v>0</v>
      </c>
      <c r="S48" s="566">
        <f>(T48/4)*2</f>
        <v>0</v>
      </c>
      <c r="T48" s="573">
        <v>0</v>
      </c>
      <c r="U48" s="56"/>
    </row>
    <row r="49" spans="1:21" s="345" customFormat="1" ht="19.5" customHeight="1">
      <c r="A49" s="59">
        <v>13</v>
      </c>
      <c r="B49" s="534" t="s">
        <v>365</v>
      </c>
      <c r="C49" s="794">
        <f>SUM(D49:E49)</f>
        <v>1</v>
      </c>
      <c r="D49" s="794"/>
      <c r="E49" s="785">
        <v>1</v>
      </c>
      <c r="F49" s="791">
        <f>G49+H49</f>
        <v>1</v>
      </c>
      <c r="G49" s="793"/>
      <c r="H49" s="782">
        <v>1</v>
      </c>
      <c r="I49" s="782">
        <v>27251</v>
      </c>
      <c r="J49" s="783">
        <f>K49+L49</f>
        <v>27251</v>
      </c>
      <c r="K49" s="780"/>
      <c r="L49" s="784">
        <v>27251</v>
      </c>
      <c r="M49" s="572">
        <v>0</v>
      </c>
      <c r="N49" s="572">
        <v>0</v>
      </c>
      <c r="O49" s="302">
        <f>P49+Q49</f>
        <v>0</v>
      </c>
      <c r="P49" s="564">
        <f>(Q49/4)*2</f>
        <v>0</v>
      </c>
      <c r="Q49" s="572">
        <v>0</v>
      </c>
      <c r="R49" s="302">
        <v>0</v>
      </c>
      <c r="S49" s="566">
        <f>(T49/4)*2</f>
        <v>0</v>
      </c>
      <c r="T49" s="573">
        <v>0</v>
      </c>
      <c r="U49" s="56"/>
    </row>
    <row r="50" spans="1:21" s="345" customFormat="1" ht="19.5" customHeight="1">
      <c r="A50" s="59">
        <v>14</v>
      </c>
      <c r="B50" s="534" t="s">
        <v>366</v>
      </c>
      <c r="C50" s="285" t="s">
        <v>527</v>
      </c>
      <c r="D50" s="285" t="s">
        <v>527</v>
      </c>
      <c r="E50" s="285" t="s">
        <v>527</v>
      </c>
      <c r="F50" s="302" t="s">
        <v>527</v>
      </c>
      <c r="G50" s="564" t="s">
        <v>527</v>
      </c>
      <c r="H50" s="285" t="s">
        <v>527</v>
      </c>
      <c r="I50" s="285" t="s">
        <v>527</v>
      </c>
      <c r="J50" s="302" t="s">
        <v>527</v>
      </c>
      <c r="K50" s="564" t="s">
        <v>527</v>
      </c>
      <c r="L50" s="285" t="s">
        <v>527</v>
      </c>
      <c r="M50" s="285" t="s">
        <v>527</v>
      </c>
      <c r="N50" s="285" t="s">
        <v>527</v>
      </c>
      <c r="O50" s="302" t="s">
        <v>527</v>
      </c>
      <c r="P50" s="564" t="s">
        <v>527</v>
      </c>
      <c r="Q50" s="285" t="s">
        <v>527</v>
      </c>
      <c r="R50" s="302" t="s">
        <v>527</v>
      </c>
      <c r="S50" s="571" t="s">
        <v>527</v>
      </c>
      <c r="T50" s="285" t="s">
        <v>527</v>
      </c>
      <c r="U50" s="56"/>
    </row>
    <row r="51" spans="1:21" s="345" customFormat="1" ht="19.5" customHeight="1">
      <c r="A51" s="59">
        <v>15</v>
      </c>
      <c r="B51" s="534" t="s">
        <v>367</v>
      </c>
      <c r="C51" s="740"/>
      <c r="D51" s="740"/>
      <c r="E51" s="574"/>
      <c r="F51" s="575"/>
      <c r="G51" s="576"/>
      <c r="H51" s="577"/>
      <c r="I51" s="577"/>
      <c r="J51" s="575"/>
      <c r="K51" s="576"/>
      <c r="L51" s="577"/>
      <c r="M51" s="577"/>
      <c r="N51" s="577"/>
      <c r="O51" s="575"/>
      <c r="P51" s="576"/>
      <c r="Q51" s="577"/>
      <c r="R51" s="575"/>
      <c r="S51" s="578"/>
      <c r="T51" s="579"/>
      <c r="U51" s="56"/>
    </row>
    <row r="52" spans="1:21" s="345" customFormat="1" ht="19.5" customHeight="1">
      <c r="A52" s="59">
        <v>16</v>
      </c>
      <c r="B52" s="534" t="s">
        <v>368</v>
      </c>
      <c r="C52" s="785">
        <v>1</v>
      </c>
      <c r="D52" s="785" t="s">
        <v>527</v>
      </c>
      <c r="E52" s="785">
        <v>1</v>
      </c>
      <c r="F52" s="791">
        <v>1</v>
      </c>
      <c r="G52" s="780" t="s">
        <v>527</v>
      </c>
      <c r="H52" s="785">
        <v>1</v>
      </c>
      <c r="I52" s="785">
        <v>66259</v>
      </c>
      <c r="J52" s="778">
        <f>L52+K52</f>
        <v>66259</v>
      </c>
      <c r="K52" s="780"/>
      <c r="L52" s="785">
        <v>66259</v>
      </c>
      <c r="M52" s="285" t="s">
        <v>527</v>
      </c>
      <c r="N52" s="285" t="s">
        <v>527</v>
      </c>
      <c r="O52" s="302" t="s">
        <v>527</v>
      </c>
      <c r="P52" s="564" t="s">
        <v>527</v>
      </c>
      <c r="Q52" s="285" t="s">
        <v>527</v>
      </c>
      <c r="R52" s="302" t="s">
        <v>527</v>
      </c>
      <c r="S52" s="571" t="s">
        <v>527</v>
      </c>
      <c r="T52" s="285" t="s">
        <v>527</v>
      </c>
      <c r="U52" s="56"/>
    </row>
    <row r="53" spans="1:21" s="345" customFormat="1" ht="19.5" customHeight="1">
      <c r="A53" s="59">
        <v>17</v>
      </c>
      <c r="B53" s="534" t="s">
        <v>369</v>
      </c>
      <c r="C53" s="285" t="s">
        <v>527</v>
      </c>
      <c r="D53" s="285" t="s">
        <v>527</v>
      </c>
      <c r="E53" s="285" t="s">
        <v>527</v>
      </c>
      <c r="F53" s="302" t="s">
        <v>527</v>
      </c>
      <c r="G53" s="564" t="s">
        <v>527</v>
      </c>
      <c r="H53" s="285" t="s">
        <v>527</v>
      </c>
      <c r="I53" s="285" t="s">
        <v>527</v>
      </c>
      <c r="J53" s="302" t="s">
        <v>527</v>
      </c>
      <c r="K53" s="564" t="s">
        <v>527</v>
      </c>
      <c r="L53" s="285" t="s">
        <v>527</v>
      </c>
      <c r="M53" s="285" t="s">
        <v>527</v>
      </c>
      <c r="N53" s="285" t="s">
        <v>527</v>
      </c>
      <c r="O53" s="302" t="s">
        <v>527</v>
      </c>
      <c r="P53" s="564" t="s">
        <v>527</v>
      </c>
      <c r="Q53" s="285" t="s">
        <v>527</v>
      </c>
      <c r="R53" s="302" t="s">
        <v>527</v>
      </c>
      <c r="S53" s="571" t="s">
        <v>527</v>
      </c>
      <c r="T53" s="285" t="s">
        <v>527</v>
      </c>
      <c r="U53" s="56"/>
    </row>
    <row r="54" spans="1:21" s="345" customFormat="1" ht="19.5" customHeight="1">
      <c r="A54" s="59">
        <v>18</v>
      </c>
      <c r="B54" s="534" t="s">
        <v>370</v>
      </c>
      <c r="C54" s="285" t="s">
        <v>527</v>
      </c>
      <c r="D54" s="285" t="s">
        <v>527</v>
      </c>
      <c r="E54" s="285" t="s">
        <v>527</v>
      </c>
      <c r="F54" s="302" t="s">
        <v>527</v>
      </c>
      <c r="G54" s="564" t="s">
        <v>527</v>
      </c>
      <c r="H54" s="285" t="s">
        <v>527</v>
      </c>
      <c r="I54" s="285" t="s">
        <v>527</v>
      </c>
      <c r="J54" s="302" t="s">
        <v>527</v>
      </c>
      <c r="K54" s="564" t="s">
        <v>527</v>
      </c>
      <c r="L54" s="285" t="s">
        <v>527</v>
      </c>
      <c r="M54" s="285" t="s">
        <v>527</v>
      </c>
      <c r="N54" s="285" t="s">
        <v>527</v>
      </c>
      <c r="O54" s="302" t="s">
        <v>527</v>
      </c>
      <c r="P54" s="564" t="s">
        <v>527</v>
      </c>
      <c r="Q54" s="285" t="s">
        <v>527</v>
      </c>
      <c r="R54" s="302" t="s">
        <v>527</v>
      </c>
      <c r="S54" s="571" t="s">
        <v>527</v>
      </c>
      <c r="T54" s="285" t="s">
        <v>527</v>
      </c>
      <c r="U54" s="56"/>
    </row>
    <row r="55" spans="1:21" s="345" customFormat="1" ht="19.5" customHeight="1">
      <c r="A55" s="59">
        <v>19</v>
      </c>
      <c r="B55" s="580" t="s">
        <v>371</v>
      </c>
      <c r="C55" s="285" t="s">
        <v>527</v>
      </c>
      <c r="D55" s="285" t="s">
        <v>527</v>
      </c>
      <c r="E55" s="285" t="s">
        <v>527</v>
      </c>
      <c r="F55" s="302" t="s">
        <v>527</v>
      </c>
      <c r="G55" s="564" t="s">
        <v>527</v>
      </c>
      <c r="H55" s="285" t="s">
        <v>527</v>
      </c>
      <c r="I55" s="285" t="s">
        <v>527</v>
      </c>
      <c r="J55" s="302" t="s">
        <v>527</v>
      </c>
      <c r="K55" s="564" t="s">
        <v>527</v>
      </c>
      <c r="L55" s="285" t="s">
        <v>527</v>
      </c>
      <c r="M55" s="285" t="s">
        <v>527</v>
      </c>
      <c r="N55" s="285" t="s">
        <v>527</v>
      </c>
      <c r="O55" s="302" t="s">
        <v>527</v>
      </c>
      <c r="P55" s="564" t="s">
        <v>527</v>
      </c>
      <c r="Q55" s="285" t="s">
        <v>527</v>
      </c>
      <c r="R55" s="302" t="s">
        <v>527</v>
      </c>
      <c r="S55" s="571" t="s">
        <v>527</v>
      </c>
      <c r="T55" s="285" t="s">
        <v>527</v>
      </c>
      <c r="U55" s="56"/>
    </row>
    <row r="56" spans="1:21" s="345" customFormat="1" ht="19.5" customHeight="1">
      <c r="A56" s="59">
        <v>20</v>
      </c>
      <c r="B56" s="580" t="s">
        <v>372</v>
      </c>
      <c r="C56" s="285" t="s">
        <v>527</v>
      </c>
      <c r="D56" s="285" t="s">
        <v>527</v>
      </c>
      <c r="E56" s="285" t="s">
        <v>527</v>
      </c>
      <c r="F56" s="302" t="s">
        <v>527</v>
      </c>
      <c r="G56" s="564" t="s">
        <v>527</v>
      </c>
      <c r="H56" s="285" t="s">
        <v>527</v>
      </c>
      <c r="I56" s="285" t="s">
        <v>527</v>
      </c>
      <c r="J56" s="302" t="s">
        <v>527</v>
      </c>
      <c r="K56" s="564" t="s">
        <v>527</v>
      </c>
      <c r="L56" s="285" t="s">
        <v>527</v>
      </c>
      <c r="M56" s="285" t="s">
        <v>527</v>
      </c>
      <c r="N56" s="285" t="s">
        <v>527</v>
      </c>
      <c r="O56" s="302" t="s">
        <v>527</v>
      </c>
      <c r="P56" s="564" t="s">
        <v>527</v>
      </c>
      <c r="Q56" s="285" t="s">
        <v>527</v>
      </c>
      <c r="R56" s="302" t="s">
        <v>527</v>
      </c>
      <c r="S56" s="571" t="s">
        <v>527</v>
      </c>
      <c r="T56" s="285" t="s">
        <v>527</v>
      </c>
      <c r="U56" s="56"/>
    </row>
    <row r="57" spans="1:21" s="345" customFormat="1" ht="19.5" customHeight="1">
      <c r="A57" s="59">
        <v>21</v>
      </c>
      <c r="B57" s="580" t="s">
        <v>373</v>
      </c>
      <c r="C57" s="739">
        <f>SUM(D57:E57)</f>
        <v>1</v>
      </c>
      <c r="D57" s="285" t="s">
        <v>527</v>
      </c>
      <c r="E57" s="285">
        <v>1</v>
      </c>
      <c r="F57" s="302">
        <f>G57+H57</f>
        <v>0</v>
      </c>
      <c r="G57" s="564">
        <f>(H57/4)*2</f>
        <v>0</v>
      </c>
      <c r="H57" s="572">
        <v>0</v>
      </c>
      <c r="I57" s="572">
        <v>0</v>
      </c>
      <c r="J57" s="302">
        <f>K57+L57</f>
        <v>0</v>
      </c>
      <c r="K57" s="564">
        <f>(L57/4)*2</f>
        <v>0</v>
      </c>
      <c r="L57" s="572">
        <v>0</v>
      </c>
      <c r="M57" s="572">
        <v>0</v>
      </c>
      <c r="N57" s="572">
        <v>0</v>
      </c>
      <c r="O57" s="302">
        <f>P57+Q57</f>
        <v>0</v>
      </c>
      <c r="P57" s="564">
        <f>(Q57/4)*2</f>
        <v>0</v>
      </c>
      <c r="Q57" s="572">
        <v>0</v>
      </c>
      <c r="R57" s="302">
        <f>S57+T57</f>
        <v>0</v>
      </c>
      <c r="S57" s="566">
        <f>(T57/4)*2</f>
        <v>0</v>
      </c>
      <c r="T57" s="573">
        <v>0</v>
      </c>
      <c r="U57" s="56"/>
    </row>
    <row r="58" spans="1:21" s="345" customFormat="1" ht="19.5" customHeight="1">
      <c r="A58" s="59">
        <v>22</v>
      </c>
      <c r="B58" s="580" t="s">
        <v>374</v>
      </c>
      <c r="C58" s="285" t="s">
        <v>527</v>
      </c>
      <c r="D58" s="285" t="s">
        <v>527</v>
      </c>
      <c r="E58" s="285" t="s">
        <v>527</v>
      </c>
      <c r="F58" s="302" t="s">
        <v>527</v>
      </c>
      <c r="G58" s="564" t="s">
        <v>527</v>
      </c>
      <c r="H58" s="285" t="s">
        <v>527</v>
      </c>
      <c r="I58" s="285" t="s">
        <v>527</v>
      </c>
      <c r="J58" s="302" t="s">
        <v>527</v>
      </c>
      <c r="K58" s="564" t="s">
        <v>527</v>
      </c>
      <c r="L58" s="285" t="s">
        <v>527</v>
      </c>
      <c r="M58" s="285" t="s">
        <v>527</v>
      </c>
      <c r="N58" s="285" t="s">
        <v>527</v>
      </c>
      <c r="O58" s="302" t="s">
        <v>527</v>
      </c>
      <c r="P58" s="564" t="s">
        <v>527</v>
      </c>
      <c r="Q58" s="285" t="s">
        <v>527</v>
      </c>
      <c r="R58" s="302" t="s">
        <v>527</v>
      </c>
      <c r="S58" s="571" t="s">
        <v>527</v>
      </c>
      <c r="T58" s="285" t="s">
        <v>527</v>
      </c>
      <c r="U58" s="56"/>
    </row>
    <row r="59" spans="1:21" s="345" customFormat="1" ht="19.5" customHeight="1">
      <c r="A59" s="59">
        <v>23</v>
      </c>
      <c r="B59" s="580" t="s">
        <v>375</v>
      </c>
      <c r="C59" s="285" t="s">
        <v>527</v>
      </c>
      <c r="D59" s="285" t="s">
        <v>527</v>
      </c>
      <c r="E59" s="285" t="s">
        <v>527</v>
      </c>
      <c r="F59" s="302" t="s">
        <v>527</v>
      </c>
      <c r="G59" s="564" t="s">
        <v>527</v>
      </c>
      <c r="H59" s="285" t="s">
        <v>527</v>
      </c>
      <c r="I59" s="285" t="s">
        <v>527</v>
      </c>
      <c r="J59" s="302" t="s">
        <v>527</v>
      </c>
      <c r="K59" s="564" t="s">
        <v>527</v>
      </c>
      <c r="L59" s="285" t="s">
        <v>527</v>
      </c>
      <c r="M59" s="285" t="s">
        <v>527</v>
      </c>
      <c r="N59" s="285" t="s">
        <v>527</v>
      </c>
      <c r="O59" s="302" t="s">
        <v>527</v>
      </c>
      <c r="P59" s="564" t="s">
        <v>527</v>
      </c>
      <c r="Q59" s="285" t="s">
        <v>527</v>
      </c>
      <c r="R59" s="302" t="s">
        <v>527</v>
      </c>
      <c r="S59" s="571" t="s">
        <v>527</v>
      </c>
      <c r="T59" s="285" t="s">
        <v>527</v>
      </c>
      <c r="U59" s="56"/>
    </row>
    <row r="60" spans="1:21" s="345" customFormat="1" ht="19.5" customHeight="1">
      <c r="A60" s="59">
        <v>24</v>
      </c>
      <c r="B60" s="580" t="s">
        <v>376</v>
      </c>
      <c r="C60" s="285" t="s">
        <v>527</v>
      </c>
      <c r="D60" s="285" t="s">
        <v>527</v>
      </c>
      <c r="E60" s="285" t="s">
        <v>527</v>
      </c>
      <c r="F60" s="302" t="s">
        <v>527</v>
      </c>
      <c r="G60" s="564" t="s">
        <v>527</v>
      </c>
      <c r="H60" s="285" t="s">
        <v>527</v>
      </c>
      <c r="I60" s="285" t="s">
        <v>527</v>
      </c>
      <c r="J60" s="302" t="s">
        <v>527</v>
      </c>
      <c r="K60" s="564" t="s">
        <v>527</v>
      </c>
      <c r="L60" s="285" t="s">
        <v>527</v>
      </c>
      <c r="M60" s="285" t="s">
        <v>527</v>
      </c>
      <c r="N60" s="285" t="s">
        <v>527</v>
      </c>
      <c r="O60" s="302" t="s">
        <v>527</v>
      </c>
      <c r="P60" s="564" t="s">
        <v>527</v>
      </c>
      <c r="Q60" s="285" t="s">
        <v>527</v>
      </c>
      <c r="R60" s="302" t="s">
        <v>527</v>
      </c>
      <c r="S60" s="571" t="s">
        <v>527</v>
      </c>
      <c r="T60" s="285" t="s">
        <v>527</v>
      </c>
      <c r="U60" s="56"/>
    </row>
    <row r="61" spans="1:21" s="345" customFormat="1" ht="19.5" customHeight="1">
      <c r="A61" s="59">
        <v>25</v>
      </c>
      <c r="B61" s="580" t="s">
        <v>377</v>
      </c>
      <c r="C61" s="285" t="s">
        <v>527</v>
      </c>
      <c r="D61" s="285" t="s">
        <v>527</v>
      </c>
      <c r="E61" s="285" t="s">
        <v>527</v>
      </c>
      <c r="F61" s="302" t="s">
        <v>527</v>
      </c>
      <c r="G61" s="564" t="s">
        <v>527</v>
      </c>
      <c r="H61" s="285" t="s">
        <v>527</v>
      </c>
      <c r="I61" s="285" t="s">
        <v>527</v>
      </c>
      <c r="J61" s="302" t="s">
        <v>527</v>
      </c>
      <c r="K61" s="564" t="s">
        <v>527</v>
      </c>
      <c r="L61" s="285" t="s">
        <v>527</v>
      </c>
      <c r="M61" s="285" t="s">
        <v>527</v>
      </c>
      <c r="N61" s="285" t="s">
        <v>527</v>
      </c>
      <c r="O61" s="302" t="s">
        <v>527</v>
      </c>
      <c r="P61" s="564" t="s">
        <v>527</v>
      </c>
      <c r="Q61" s="285" t="s">
        <v>527</v>
      </c>
      <c r="R61" s="302" t="s">
        <v>527</v>
      </c>
      <c r="S61" s="571" t="s">
        <v>527</v>
      </c>
      <c r="T61" s="285" t="s">
        <v>527</v>
      </c>
      <c r="U61" s="56"/>
    </row>
    <row r="62" spans="1:21" s="345" customFormat="1" ht="19.5" customHeight="1">
      <c r="A62" s="59">
        <v>26</v>
      </c>
      <c r="B62" s="580" t="s">
        <v>378</v>
      </c>
      <c r="C62" s="285" t="s">
        <v>527</v>
      </c>
      <c r="D62" s="285" t="s">
        <v>527</v>
      </c>
      <c r="E62" s="285" t="s">
        <v>527</v>
      </c>
      <c r="F62" s="302" t="s">
        <v>527</v>
      </c>
      <c r="G62" s="564" t="s">
        <v>527</v>
      </c>
      <c r="H62" s="285" t="s">
        <v>527</v>
      </c>
      <c r="I62" s="285" t="s">
        <v>527</v>
      </c>
      <c r="J62" s="302" t="s">
        <v>527</v>
      </c>
      <c r="K62" s="564" t="s">
        <v>527</v>
      </c>
      <c r="L62" s="285" t="s">
        <v>527</v>
      </c>
      <c r="M62" s="285" t="s">
        <v>527</v>
      </c>
      <c r="N62" s="285" t="s">
        <v>527</v>
      </c>
      <c r="O62" s="302" t="s">
        <v>527</v>
      </c>
      <c r="P62" s="564" t="s">
        <v>527</v>
      </c>
      <c r="Q62" s="285" t="s">
        <v>527</v>
      </c>
      <c r="R62" s="302" t="s">
        <v>527</v>
      </c>
      <c r="S62" s="571" t="s">
        <v>527</v>
      </c>
      <c r="T62" s="285" t="s">
        <v>527</v>
      </c>
      <c r="U62" s="56"/>
    </row>
    <row r="63" spans="1:21" s="345" customFormat="1" ht="19.5" customHeight="1">
      <c r="A63" s="59">
        <v>27</v>
      </c>
      <c r="B63" s="580" t="s">
        <v>379</v>
      </c>
      <c r="C63" s="285" t="s">
        <v>527</v>
      </c>
      <c r="D63" s="285" t="s">
        <v>527</v>
      </c>
      <c r="E63" s="285" t="s">
        <v>527</v>
      </c>
      <c r="F63" s="302" t="s">
        <v>527</v>
      </c>
      <c r="G63" s="564" t="s">
        <v>527</v>
      </c>
      <c r="H63" s="285" t="s">
        <v>527</v>
      </c>
      <c r="I63" s="285" t="s">
        <v>527</v>
      </c>
      <c r="J63" s="302" t="s">
        <v>527</v>
      </c>
      <c r="K63" s="564" t="s">
        <v>527</v>
      </c>
      <c r="L63" s="285" t="s">
        <v>527</v>
      </c>
      <c r="M63" s="285" t="s">
        <v>527</v>
      </c>
      <c r="N63" s="285" t="s">
        <v>527</v>
      </c>
      <c r="O63" s="302" t="s">
        <v>527</v>
      </c>
      <c r="P63" s="564" t="s">
        <v>527</v>
      </c>
      <c r="Q63" s="285" t="s">
        <v>527</v>
      </c>
      <c r="R63" s="302" t="s">
        <v>527</v>
      </c>
      <c r="S63" s="571" t="s">
        <v>527</v>
      </c>
      <c r="T63" s="285" t="s">
        <v>527</v>
      </c>
      <c r="U63" s="56"/>
    </row>
    <row r="64" spans="1:21" s="345" customFormat="1" ht="19.5" customHeight="1">
      <c r="A64" s="59">
        <v>28</v>
      </c>
      <c r="B64" s="580" t="s">
        <v>380</v>
      </c>
      <c r="C64" s="285" t="s">
        <v>527</v>
      </c>
      <c r="D64" s="285" t="s">
        <v>527</v>
      </c>
      <c r="E64" s="285" t="s">
        <v>527</v>
      </c>
      <c r="F64" s="302" t="s">
        <v>527</v>
      </c>
      <c r="G64" s="564" t="s">
        <v>527</v>
      </c>
      <c r="H64" s="285" t="s">
        <v>527</v>
      </c>
      <c r="I64" s="285" t="s">
        <v>527</v>
      </c>
      <c r="J64" s="302" t="s">
        <v>527</v>
      </c>
      <c r="K64" s="564" t="s">
        <v>527</v>
      </c>
      <c r="L64" s="285" t="s">
        <v>527</v>
      </c>
      <c r="M64" s="285" t="s">
        <v>527</v>
      </c>
      <c r="N64" s="285" t="s">
        <v>527</v>
      </c>
      <c r="O64" s="302" t="s">
        <v>527</v>
      </c>
      <c r="P64" s="564" t="s">
        <v>527</v>
      </c>
      <c r="Q64" s="285" t="s">
        <v>527</v>
      </c>
      <c r="R64" s="302" t="s">
        <v>527</v>
      </c>
      <c r="S64" s="571" t="s">
        <v>527</v>
      </c>
      <c r="T64" s="285" t="s">
        <v>527</v>
      </c>
      <c r="U64" s="56"/>
    </row>
    <row r="65" spans="1:21" s="345" customFormat="1" ht="19.5" customHeight="1">
      <c r="A65" s="59">
        <v>29</v>
      </c>
      <c r="B65" s="580" t="s">
        <v>381</v>
      </c>
      <c r="C65" s="285" t="s">
        <v>527</v>
      </c>
      <c r="D65" s="285" t="s">
        <v>527</v>
      </c>
      <c r="E65" s="285" t="s">
        <v>527</v>
      </c>
      <c r="F65" s="302" t="s">
        <v>527</v>
      </c>
      <c r="G65" s="564" t="s">
        <v>527</v>
      </c>
      <c r="H65" s="285" t="s">
        <v>527</v>
      </c>
      <c r="I65" s="285" t="s">
        <v>527</v>
      </c>
      <c r="J65" s="302" t="s">
        <v>527</v>
      </c>
      <c r="K65" s="564" t="s">
        <v>527</v>
      </c>
      <c r="L65" s="285" t="s">
        <v>527</v>
      </c>
      <c r="M65" s="285" t="s">
        <v>527</v>
      </c>
      <c r="N65" s="285" t="s">
        <v>527</v>
      </c>
      <c r="O65" s="302" t="s">
        <v>527</v>
      </c>
      <c r="P65" s="564" t="s">
        <v>527</v>
      </c>
      <c r="Q65" s="285" t="s">
        <v>527</v>
      </c>
      <c r="R65" s="302" t="s">
        <v>527</v>
      </c>
      <c r="S65" s="571" t="s">
        <v>527</v>
      </c>
      <c r="T65" s="285" t="s">
        <v>527</v>
      </c>
      <c r="U65" s="56"/>
    </row>
    <row r="66" spans="1:21" s="345" customFormat="1" ht="19.5" customHeight="1">
      <c r="A66" s="59">
        <v>30</v>
      </c>
      <c r="B66" s="580" t="s">
        <v>382</v>
      </c>
      <c r="C66" s="285" t="s">
        <v>527</v>
      </c>
      <c r="D66" s="285" t="s">
        <v>527</v>
      </c>
      <c r="E66" s="285" t="s">
        <v>527</v>
      </c>
      <c r="F66" s="302" t="s">
        <v>527</v>
      </c>
      <c r="G66" s="564" t="s">
        <v>527</v>
      </c>
      <c r="H66" s="285" t="s">
        <v>527</v>
      </c>
      <c r="I66" s="285" t="s">
        <v>527</v>
      </c>
      <c r="J66" s="302" t="s">
        <v>527</v>
      </c>
      <c r="K66" s="564" t="s">
        <v>527</v>
      </c>
      <c r="L66" s="285" t="s">
        <v>527</v>
      </c>
      <c r="M66" s="285" t="s">
        <v>527</v>
      </c>
      <c r="N66" s="285" t="s">
        <v>527</v>
      </c>
      <c r="O66" s="302" t="s">
        <v>527</v>
      </c>
      <c r="P66" s="564" t="s">
        <v>527</v>
      </c>
      <c r="Q66" s="285" t="s">
        <v>527</v>
      </c>
      <c r="R66" s="302" t="s">
        <v>527</v>
      </c>
      <c r="S66" s="571" t="s">
        <v>527</v>
      </c>
      <c r="T66" s="285" t="s">
        <v>527</v>
      </c>
      <c r="U66" s="56"/>
    </row>
    <row r="67" spans="1:21" s="345" customFormat="1" ht="19.5" customHeight="1">
      <c r="A67" s="59">
        <v>31</v>
      </c>
      <c r="B67" s="580" t="s">
        <v>383</v>
      </c>
      <c r="C67" s="285" t="s">
        <v>527</v>
      </c>
      <c r="D67" s="285" t="s">
        <v>527</v>
      </c>
      <c r="E67" s="285" t="s">
        <v>527</v>
      </c>
      <c r="F67" s="302" t="s">
        <v>527</v>
      </c>
      <c r="G67" s="564" t="s">
        <v>527</v>
      </c>
      <c r="H67" s="285" t="s">
        <v>527</v>
      </c>
      <c r="I67" s="285" t="s">
        <v>527</v>
      </c>
      <c r="J67" s="302" t="s">
        <v>527</v>
      </c>
      <c r="K67" s="564" t="s">
        <v>527</v>
      </c>
      <c r="L67" s="285" t="s">
        <v>527</v>
      </c>
      <c r="M67" s="285" t="s">
        <v>527</v>
      </c>
      <c r="N67" s="285" t="s">
        <v>527</v>
      </c>
      <c r="O67" s="302" t="s">
        <v>527</v>
      </c>
      <c r="P67" s="564" t="s">
        <v>527</v>
      </c>
      <c r="Q67" s="285" t="s">
        <v>527</v>
      </c>
      <c r="R67" s="302" t="s">
        <v>527</v>
      </c>
      <c r="S67" s="571" t="s">
        <v>527</v>
      </c>
      <c r="T67" s="285" t="s">
        <v>527</v>
      </c>
      <c r="U67" s="56"/>
    </row>
    <row r="68" spans="1:21" s="345" customFormat="1" ht="19.5" customHeight="1">
      <c r="A68" s="59">
        <v>32</v>
      </c>
      <c r="B68" s="580" t="s">
        <v>384</v>
      </c>
      <c r="C68" s="285" t="s">
        <v>527</v>
      </c>
      <c r="D68" s="285" t="s">
        <v>527</v>
      </c>
      <c r="E68" s="285" t="s">
        <v>527</v>
      </c>
      <c r="F68" s="302" t="s">
        <v>527</v>
      </c>
      <c r="G68" s="564" t="s">
        <v>527</v>
      </c>
      <c r="H68" s="285" t="s">
        <v>527</v>
      </c>
      <c r="I68" s="285" t="s">
        <v>527</v>
      </c>
      <c r="J68" s="302" t="s">
        <v>527</v>
      </c>
      <c r="K68" s="564" t="s">
        <v>527</v>
      </c>
      <c r="L68" s="285" t="s">
        <v>527</v>
      </c>
      <c r="M68" s="285" t="s">
        <v>527</v>
      </c>
      <c r="N68" s="285" t="s">
        <v>527</v>
      </c>
      <c r="O68" s="302" t="s">
        <v>527</v>
      </c>
      <c r="P68" s="564" t="s">
        <v>527</v>
      </c>
      <c r="Q68" s="285" t="s">
        <v>527</v>
      </c>
      <c r="R68" s="302" t="s">
        <v>527</v>
      </c>
      <c r="S68" s="571" t="s">
        <v>527</v>
      </c>
      <c r="T68" s="285" t="s">
        <v>527</v>
      </c>
      <c r="U68" s="56"/>
    </row>
    <row r="69" spans="1:21" s="345" customFormat="1" ht="19.5" customHeight="1">
      <c r="A69" s="59">
        <v>33</v>
      </c>
      <c r="B69" s="580" t="s">
        <v>385</v>
      </c>
      <c r="C69" s="285" t="s">
        <v>527</v>
      </c>
      <c r="D69" s="285" t="s">
        <v>527</v>
      </c>
      <c r="E69" s="285" t="s">
        <v>527</v>
      </c>
      <c r="F69" s="302" t="s">
        <v>527</v>
      </c>
      <c r="G69" s="564" t="s">
        <v>527</v>
      </c>
      <c r="H69" s="285" t="s">
        <v>527</v>
      </c>
      <c r="I69" s="285" t="s">
        <v>527</v>
      </c>
      <c r="J69" s="302" t="s">
        <v>527</v>
      </c>
      <c r="K69" s="564" t="s">
        <v>527</v>
      </c>
      <c r="L69" s="285" t="s">
        <v>527</v>
      </c>
      <c r="M69" s="285" t="s">
        <v>527</v>
      </c>
      <c r="N69" s="285" t="s">
        <v>527</v>
      </c>
      <c r="O69" s="302" t="s">
        <v>527</v>
      </c>
      <c r="P69" s="564" t="s">
        <v>527</v>
      </c>
      <c r="Q69" s="285" t="s">
        <v>527</v>
      </c>
      <c r="R69" s="302" t="s">
        <v>527</v>
      </c>
      <c r="S69" s="571" t="s">
        <v>527</v>
      </c>
      <c r="T69" s="285" t="s">
        <v>527</v>
      </c>
      <c r="U69" s="56"/>
    </row>
    <row r="70" spans="1:21" s="345" customFormat="1" ht="19.5" customHeight="1">
      <c r="A70" s="59">
        <v>34</v>
      </c>
      <c r="B70" s="580" t="s">
        <v>386</v>
      </c>
      <c r="C70" s="741"/>
      <c r="D70" s="741"/>
      <c r="E70" s="574"/>
      <c r="F70" s="575"/>
      <c r="G70" s="576"/>
      <c r="H70" s="577"/>
      <c r="I70" s="577"/>
      <c r="J70" s="575"/>
      <c r="K70" s="576"/>
      <c r="L70" s="577"/>
      <c r="M70" s="577"/>
      <c r="N70" s="577"/>
      <c r="O70" s="575"/>
      <c r="P70" s="576"/>
      <c r="Q70" s="577"/>
      <c r="R70" s="575"/>
      <c r="S70" s="578"/>
      <c r="T70" s="579"/>
      <c r="U70" s="56"/>
    </row>
    <row r="71" spans="1:21" s="345" customFormat="1" ht="19.5" customHeight="1">
      <c r="A71" s="59">
        <v>35</v>
      </c>
      <c r="B71" s="580" t="s">
        <v>387</v>
      </c>
      <c r="C71" s="285" t="s">
        <v>527</v>
      </c>
      <c r="D71" s="285" t="s">
        <v>527</v>
      </c>
      <c r="E71" s="285" t="s">
        <v>527</v>
      </c>
      <c r="F71" s="302" t="s">
        <v>527</v>
      </c>
      <c r="G71" s="564" t="s">
        <v>527</v>
      </c>
      <c r="H71" s="285" t="s">
        <v>527</v>
      </c>
      <c r="I71" s="285" t="s">
        <v>527</v>
      </c>
      <c r="J71" s="302" t="s">
        <v>527</v>
      </c>
      <c r="K71" s="564" t="s">
        <v>527</v>
      </c>
      <c r="L71" s="285" t="s">
        <v>527</v>
      </c>
      <c r="M71" s="285" t="s">
        <v>527</v>
      </c>
      <c r="N71" s="285" t="s">
        <v>527</v>
      </c>
      <c r="O71" s="302" t="s">
        <v>527</v>
      </c>
      <c r="P71" s="564" t="s">
        <v>527</v>
      </c>
      <c r="Q71" s="285" t="s">
        <v>527</v>
      </c>
      <c r="R71" s="302" t="s">
        <v>527</v>
      </c>
      <c r="S71" s="571" t="s">
        <v>527</v>
      </c>
      <c r="T71" s="285" t="s">
        <v>527</v>
      </c>
      <c r="U71" s="56"/>
    </row>
    <row r="72" spans="1:21" s="345" customFormat="1" ht="19.5" customHeight="1">
      <c r="A72" s="59">
        <v>36</v>
      </c>
      <c r="B72" s="543" t="s">
        <v>388</v>
      </c>
      <c r="C72" s="285" t="s">
        <v>527</v>
      </c>
      <c r="D72" s="285" t="s">
        <v>527</v>
      </c>
      <c r="E72" s="285" t="s">
        <v>527</v>
      </c>
      <c r="F72" s="302" t="s">
        <v>527</v>
      </c>
      <c r="G72" s="564" t="s">
        <v>527</v>
      </c>
      <c r="H72" s="285" t="s">
        <v>527</v>
      </c>
      <c r="I72" s="285" t="s">
        <v>527</v>
      </c>
      <c r="J72" s="302" t="s">
        <v>527</v>
      </c>
      <c r="K72" s="564" t="s">
        <v>527</v>
      </c>
      <c r="L72" s="285" t="s">
        <v>527</v>
      </c>
      <c r="M72" s="285" t="s">
        <v>527</v>
      </c>
      <c r="N72" s="285" t="s">
        <v>527</v>
      </c>
      <c r="O72" s="302" t="s">
        <v>527</v>
      </c>
      <c r="P72" s="564" t="s">
        <v>527</v>
      </c>
      <c r="Q72" s="285" t="s">
        <v>527</v>
      </c>
      <c r="R72" s="302" t="s">
        <v>527</v>
      </c>
      <c r="S72" s="571" t="s">
        <v>527</v>
      </c>
      <c r="T72" s="285" t="s">
        <v>527</v>
      </c>
      <c r="U72" s="56"/>
    </row>
    <row r="73" spans="1:21" s="345" customFormat="1" ht="19.5" customHeight="1">
      <c r="A73" s="59">
        <v>37</v>
      </c>
      <c r="B73" s="581" t="s">
        <v>389</v>
      </c>
      <c r="C73" s="285" t="s">
        <v>527</v>
      </c>
      <c r="D73" s="285" t="s">
        <v>527</v>
      </c>
      <c r="E73" s="285" t="s">
        <v>527</v>
      </c>
      <c r="F73" s="302" t="s">
        <v>527</v>
      </c>
      <c r="G73" s="564" t="s">
        <v>527</v>
      </c>
      <c r="H73" s="285" t="s">
        <v>527</v>
      </c>
      <c r="I73" s="285" t="s">
        <v>527</v>
      </c>
      <c r="J73" s="302" t="s">
        <v>527</v>
      </c>
      <c r="K73" s="564" t="s">
        <v>527</v>
      </c>
      <c r="L73" s="285" t="s">
        <v>527</v>
      </c>
      <c r="M73" s="285" t="s">
        <v>527</v>
      </c>
      <c r="N73" s="285" t="s">
        <v>527</v>
      </c>
      <c r="O73" s="302" t="s">
        <v>527</v>
      </c>
      <c r="P73" s="564" t="s">
        <v>527</v>
      </c>
      <c r="Q73" s="285" t="s">
        <v>527</v>
      </c>
      <c r="R73" s="302" t="s">
        <v>527</v>
      </c>
      <c r="S73" s="571" t="s">
        <v>527</v>
      </c>
      <c r="T73" s="285" t="s">
        <v>527</v>
      </c>
      <c r="U73" s="56"/>
    </row>
    <row r="74" spans="1:21" s="345" customFormat="1" ht="19.5" customHeight="1">
      <c r="A74" s="59">
        <v>38</v>
      </c>
      <c r="B74" s="581" t="s">
        <v>390</v>
      </c>
      <c r="C74" s="285" t="s">
        <v>527</v>
      </c>
      <c r="D74" s="285" t="s">
        <v>527</v>
      </c>
      <c r="E74" s="285" t="s">
        <v>527</v>
      </c>
      <c r="F74" s="302" t="s">
        <v>527</v>
      </c>
      <c r="G74" s="564" t="s">
        <v>527</v>
      </c>
      <c r="H74" s="285" t="s">
        <v>527</v>
      </c>
      <c r="I74" s="285" t="s">
        <v>527</v>
      </c>
      <c r="J74" s="302" t="s">
        <v>527</v>
      </c>
      <c r="K74" s="564" t="s">
        <v>527</v>
      </c>
      <c r="L74" s="285" t="s">
        <v>527</v>
      </c>
      <c r="M74" s="285" t="s">
        <v>527</v>
      </c>
      <c r="N74" s="285" t="s">
        <v>527</v>
      </c>
      <c r="O74" s="302" t="s">
        <v>527</v>
      </c>
      <c r="P74" s="564" t="s">
        <v>527</v>
      </c>
      <c r="Q74" s="285" t="s">
        <v>527</v>
      </c>
      <c r="R74" s="302" t="s">
        <v>527</v>
      </c>
      <c r="S74" s="571" t="s">
        <v>527</v>
      </c>
      <c r="T74" s="285" t="s">
        <v>527</v>
      </c>
      <c r="U74" s="56"/>
    </row>
    <row r="75" spans="1:21" s="345" customFormat="1" ht="19.5" customHeight="1">
      <c r="A75" s="59">
        <v>39</v>
      </c>
      <c r="B75" s="543" t="s">
        <v>391</v>
      </c>
      <c r="C75" s="285" t="s">
        <v>527</v>
      </c>
      <c r="D75" s="285" t="s">
        <v>527</v>
      </c>
      <c r="E75" s="285" t="s">
        <v>527</v>
      </c>
      <c r="F75" s="302" t="s">
        <v>527</v>
      </c>
      <c r="G75" s="564" t="s">
        <v>527</v>
      </c>
      <c r="H75" s="285" t="s">
        <v>527</v>
      </c>
      <c r="I75" s="285" t="s">
        <v>527</v>
      </c>
      <c r="J75" s="302" t="s">
        <v>527</v>
      </c>
      <c r="K75" s="564" t="s">
        <v>527</v>
      </c>
      <c r="L75" s="285" t="s">
        <v>527</v>
      </c>
      <c r="M75" s="285" t="s">
        <v>527</v>
      </c>
      <c r="N75" s="285" t="s">
        <v>527</v>
      </c>
      <c r="O75" s="302" t="s">
        <v>527</v>
      </c>
      <c r="P75" s="564" t="s">
        <v>527</v>
      </c>
      <c r="Q75" s="285" t="s">
        <v>527</v>
      </c>
      <c r="R75" s="302" t="s">
        <v>527</v>
      </c>
      <c r="S75" s="571" t="s">
        <v>527</v>
      </c>
      <c r="T75" s="285" t="s">
        <v>527</v>
      </c>
      <c r="U75" s="56"/>
    </row>
    <row r="76" spans="1:21" s="345" customFormat="1" ht="19.5" customHeight="1">
      <c r="A76" s="59">
        <v>40</v>
      </c>
      <c r="B76" s="543" t="s">
        <v>392</v>
      </c>
      <c r="C76" s="739">
        <f>SUM(D76:E76)</f>
        <v>5</v>
      </c>
      <c r="D76" s="742">
        <v>0</v>
      </c>
      <c r="E76" s="285">
        <v>5</v>
      </c>
      <c r="F76" s="302">
        <f>G76+H76</f>
        <v>3</v>
      </c>
      <c r="G76" s="565"/>
      <c r="H76" s="572">
        <v>3</v>
      </c>
      <c r="I76" s="572">
        <v>175272</v>
      </c>
      <c r="J76" s="302">
        <f>K76+L76</f>
        <v>0</v>
      </c>
      <c r="K76" s="564">
        <f>(L76/4)*2</f>
        <v>0</v>
      </c>
      <c r="L76" s="572">
        <v>0</v>
      </c>
      <c r="M76" s="572">
        <v>0</v>
      </c>
      <c r="N76" s="572">
        <v>0</v>
      </c>
      <c r="O76" s="302">
        <f>P76+Q76</f>
        <v>0</v>
      </c>
      <c r="P76" s="564">
        <f>(Q76/4)*2</f>
        <v>0</v>
      </c>
      <c r="Q76" s="572">
        <v>0</v>
      </c>
      <c r="R76" s="302">
        <f>S76+T76</f>
        <v>0</v>
      </c>
      <c r="S76" s="566">
        <f>(T76/4)*2</f>
        <v>0</v>
      </c>
      <c r="T76" s="573">
        <v>0</v>
      </c>
      <c r="U76" s="56"/>
    </row>
    <row r="77" spans="1:21" s="345" customFormat="1" ht="19.5" customHeight="1">
      <c r="A77" s="59">
        <v>41</v>
      </c>
      <c r="B77" s="543" t="s">
        <v>393</v>
      </c>
      <c r="C77" s="743"/>
      <c r="D77" s="743"/>
      <c r="E77" s="574"/>
      <c r="F77" s="575"/>
      <c r="G77" s="576"/>
      <c r="H77" s="577"/>
      <c r="I77" s="577"/>
      <c r="J77" s="575"/>
      <c r="K77" s="576"/>
      <c r="L77" s="577"/>
      <c r="M77" s="577"/>
      <c r="N77" s="577"/>
      <c r="O77" s="575"/>
      <c r="P77" s="576"/>
      <c r="Q77" s="577"/>
      <c r="R77" s="575"/>
      <c r="S77" s="578"/>
      <c r="T77" s="579"/>
      <c r="U77" s="56"/>
    </row>
    <row r="78" spans="1:21" s="345" customFormat="1" ht="19.5" customHeight="1">
      <c r="A78" s="59">
        <v>42</v>
      </c>
      <c r="B78" s="543" t="s">
        <v>394</v>
      </c>
      <c r="C78" s="744">
        <f>SUM(D78:E78)</f>
        <v>1</v>
      </c>
      <c r="D78" s="742"/>
      <c r="E78" s="285">
        <v>1</v>
      </c>
      <c r="F78" s="302">
        <f>G78+H78</f>
        <v>0</v>
      </c>
      <c r="G78" s="564">
        <f>(H78/4)*2</f>
        <v>0</v>
      </c>
      <c r="H78" s="572">
        <v>0</v>
      </c>
      <c r="I78" s="572">
        <v>0</v>
      </c>
      <c r="J78" s="302">
        <f>K78+L78</f>
        <v>0</v>
      </c>
      <c r="K78" s="564">
        <f>(L78/4)*2</f>
        <v>0</v>
      </c>
      <c r="L78" s="572">
        <v>0</v>
      </c>
      <c r="M78" s="572">
        <v>0</v>
      </c>
      <c r="N78" s="572">
        <v>0</v>
      </c>
      <c r="O78" s="302">
        <f>P78+Q78</f>
        <v>0</v>
      </c>
      <c r="P78" s="564">
        <f>(Q78/4)*2</f>
        <v>0</v>
      </c>
      <c r="Q78" s="572">
        <v>0</v>
      </c>
      <c r="R78" s="302">
        <f>S78+T78</f>
        <v>0</v>
      </c>
      <c r="S78" s="566">
        <f>(T78/4)*2</f>
        <v>0</v>
      </c>
      <c r="T78" s="573">
        <v>0</v>
      </c>
      <c r="U78" s="56"/>
    </row>
    <row r="79" spans="1:21" s="345" customFormat="1" ht="19.5" customHeight="1">
      <c r="A79" s="59">
        <v>43</v>
      </c>
      <c r="B79" s="581" t="s">
        <v>395</v>
      </c>
      <c r="C79" s="285" t="s">
        <v>527</v>
      </c>
      <c r="D79" s="285" t="s">
        <v>527</v>
      </c>
      <c r="E79" s="285" t="s">
        <v>527</v>
      </c>
      <c r="F79" s="302" t="s">
        <v>527</v>
      </c>
      <c r="G79" s="564" t="s">
        <v>527</v>
      </c>
      <c r="H79" s="285" t="s">
        <v>527</v>
      </c>
      <c r="I79" s="285" t="s">
        <v>527</v>
      </c>
      <c r="J79" s="302" t="s">
        <v>527</v>
      </c>
      <c r="K79" s="564" t="s">
        <v>527</v>
      </c>
      <c r="L79" s="285" t="s">
        <v>527</v>
      </c>
      <c r="M79" s="285" t="s">
        <v>527</v>
      </c>
      <c r="N79" s="285" t="s">
        <v>527</v>
      </c>
      <c r="O79" s="302" t="s">
        <v>527</v>
      </c>
      <c r="P79" s="564" t="s">
        <v>527</v>
      </c>
      <c r="Q79" s="285" t="s">
        <v>527</v>
      </c>
      <c r="R79" s="302" t="s">
        <v>527</v>
      </c>
      <c r="S79" s="571" t="s">
        <v>527</v>
      </c>
      <c r="T79" s="285" t="s">
        <v>527</v>
      </c>
      <c r="U79" s="56"/>
    </row>
    <row r="80" spans="1:21" s="345" customFormat="1" ht="19.5" customHeight="1">
      <c r="A80" s="59">
        <v>44</v>
      </c>
      <c r="B80" s="581" t="s">
        <v>396</v>
      </c>
      <c r="C80" s="285" t="s">
        <v>527</v>
      </c>
      <c r="D80" s="285" t="s">
        <v>527</v>
      </c>
      <c r="E80" s="285" t="s">
        <v>527</v>
      </c>
      <c r="F80" s="302" t="s">
        <v>527</v>
      </c>
      <c r="G80" s="564" t="s">
        <v>527</v>
      </c>
      <c r="H80" s="285" t="s">
        <v>527</v>
      </c>
      <c r="I80" s="285" t="s">
        <v>527</v>
      </c>
      <c r="J80" s="302" t="s">
        <v>527</v>
      </c>
      <c r="K80" s="564" t="s">
        <v>527</v>
      </c>
      <c r="L80" s="285" t="s">
        <v>527</v>
      </c>
      <c r="M80" s="285" t="s">
        <v>527</v>
      </c>
      <c r="N80" s="285" t="s">
        <v>527</v>
      </c>
      <c r="O80" s="302" t="s">
        <v>527</v>
      </c>
      <c r="P80" s="564" t="s">
        <v>527</v>
      </c>
      <c r="Q80" s="285" t="s">
        <v>527</v>
      </c>
      <c r="R80" s="302" t="s">
        <v>527</v>
      </c>
      <c r="S80" s="571" t="s">
        <v>527</v>
      </c>
      <c r="T80" s="285" t="s">
        <v>527</v>
      </c>
      <c r="U80" s="56"/>
    </row>
    <row r="81" spans="1:21" s="345" customFormat="1" ht="19.5" customHeight="1">
      <c r="A81" s="59">
        <v>45</v>
      </c>
      <c r="B81" s="545" t="s">
        <v>397</v>
      </c>
      <c r="C81" s="285" t="s">
        <v>527</v>
      </c>
      <c r="D81" s="285" t="s">
        <v>527</v>
      </c>
      <c r="E81" s="285" t="s">
        <v>527</v>
      </c>
      <c r="F81" s="302" t="s">
        <v>527</v>
      </c>
      <c r="G81" s="564" t="s">
        <v>527</v>
      </c>
      <c r="H81" s="285" t="s">
        <v>527</v>
      </c>
      <c r="I81" s="285" t="s">
        <v>527</v>
      </c>
      <c r="J81" s="302" t="s">
        <v>527</v>
      </c>
      <c r="K81" s="564" t="s">
        <v>527</v>
      </c>
      <c r="L81" s="285" t="s">
        <v>527</v>
      </c>
      <c r="M81" s="285" t="s">
        <v>527</v>
      </c>
      <c r="N81" s="285" t="s">
        <v>527</v>
      </c>
      <c r="O81" s="302" t="s">
        <v>527</v>
      </c>
      <c r="P81" s="564" t="s">
        <v>527</v>
      </c>
      <c r="Q81" s="285" t="s">
        <v>527</v>
      </c>
      <c r="R81" s="302" t="s">
        <v>527</v>
      </c>
      <c r="S81" s="571" t="s">
        <v>527</v>
      </c>
      <c r="T81" s="285" t="s">
        <v>527</v>
      </c>
      <c r="U81" s="56"/>
    </row>
    <row r="82" spans="1:21" s="345" customFormat="1" ht="19.5" customHeight="1">
      <c r="A82" s="59">
        <v>46</v>
      </c>
      <c r="B82" s="546" t="s">
        <v>398</v>
      </c>
      <c r="C82" s="285" t="s">
        <v>527</v>
      </c>
      <c r="D82" s="285" t="s">
        <v>527</v>
      </c>
      <c r="E82" s="285" t="s">
        <v>527</v>
      </c>
      <c r="F82" s="302" t="s">
        <v>527</v>
      </c>
      <c r="G82" s="564" t="s">
        <v>527</v>
      </c>
      <c r="H82" s="285" t="s">
        <v>527</v>
      </c>
      <c r="I82" s="285" t="s">
        <v>527</v>
      </c>
      <c r="J82" s="302" t="s">
        <v>527</v>
      </c>
      <c r="K82" s="564" t="s">
        <v>527</v>
      </c>
      <c r="L82" s="285" t="s">
        <v>527</v>
      </c>
      <c r="M82" s="285" t="s">
        <v>527</v>
      </c>
      <c r="N82" s="285" t="s">
        <v>527</v>
      </c>
      <c r="O82" s="302" t="s">
        <v>527</v>
      </c>
      <c r="P82" s="564" t="s">
        <v>527</v>
      </c>
      <c r="Q82" s="285" t="s">
        <v>527</v>
      </c>
      <c r="R82" s="302" t="s">
        <v>527</v>
      </c>
      <c r="S82" s="571" t="s">
        <v>527</v>
      </c>
      <c r="T82" s="285" t="s">
        <v>527</v>
      </c>
      <c r="U82" s="56"/>
    </row>
    <row r="83" spans="1:21" s="345" customFormat="1" ht="19.5" customHeight="1">
      <c r="A83" s="59">
        <v>47</v>
      </c>
      <c r="B83" s="546" t="s">
        <v>399</v>
      </c>
      <c r="C83" s="745"/>
      <c r="D83" s="745"/>
      <c r="E83" s="574"/>
      <c r="F83" s="575"/>
      <c r="G83" s="576"/>
      <c r="H83" s="577"/>
      <c r="I83" s="577"/>
      <c r="J83" s="575"/>
      <c r="K83" s="576"/>
      <c r="L83" s="577"/>
      <c r="M83" s="577"/>
      <c r="N83" s="577"/>
      <c r="O83" s="575"/>
      <c r="P83" s="576"/>
      <c r="Q83" s="577"/>
      <c r="R83" s="575"/>
      <c r="S83" s="578"/>
      <c r="T83" s="579"/>
      <c r="U83" s="56"/>
    </row>
    <row r="84" spans="1:21" s="345" customFormat="1" ht="19.5" customHeight="1">
      <c r="A84" s="59">
        <v>48</v>
      </c>
      <c r="B84" s="546" t="s">
        <v>400</v>
      </c>
      <c r="C84" s="285">
        <v>1</v>
      </c>
      <c r="D84" s="285" t="s">
        <v>527</v>
      </c>
      <c r="E84" s="285">
        <v>1</v>
      </c>
      <c r="F84" s="302">
        <f>G84+H84</f>
        <v>0</v>
      </c>
      <c r="G84" s="564">
        <f>(H84/4)*2</f>
        <v>0</v>
      </c>
      <c r="H84" s="572">
        <v>0</v>
      </c>
      <c r="I84" s="572">
        <v>0</v>
      </c>
      <c r="J84" s="302">
        <f>K84+L84</f>
        <v>0</v>
      </c>
      <c r="K84" s="564">
        <f>(L84/4)*2</f>
        <v>0</v>
      </c>
      <c r="L84" s="572">
        <v>0</v>
      </c>
      <c r="M84" s="782">
        <v>0</v>
      </c>
      <c r="N84" s="572">
        <v>0</v>
      </c>
      <c r="O84" s="302">
        <f>P84+Q84</f>
        <v>0</v>
      </c>
      <c r="P84" s="564">
        <f>(Q84/4)*2</f>
        <v>0</v>
      </c>
      <c r="Q84" s="572">
        <v>0</v>
      </c>
      <c r="R84" s="302">
        <f>S84+T84</f>
        <v>0</v>
      </c>
      <c r="S84" s="566">
        <f>(T84/4)*2</f>
        <v>0</v>
      </c>
      <c r="T84" s="573">
        <v>0</v>
      </c>
      <c r="U84" s="56"/>
    </row>
    <row r="85" spans="1:21" s="345" customFormat="1" ht="19.5" customHeight="1">
      <c r="A85" s="59">
        <v>49</v>
      </c>
      <c r="B85" s="546" t="s">
        <v>401</v>
      </c>
      <c r="C85" s="285" t="s">
        <v>527</v>
      </c>
      <c r="D85" s="285" t="s">
        <v>527</v>
      </c>
      <c r="E85" s="285" t="s">
        <v>527</v>
      </c>
      <c r="F85" s="302" t="s">
        <v>527</v>
      </c>
      <c r="G85" s="564" t="s">
        <v>527</v>
      </c>
      <c r="H85" s="285" t="s">
        <v>527</v>
      </c>
      <c r="I85" s="285" t="s">
        <v>527</v>
      </c>
      <c r="J85" s="302" t="s">
        <v>527</v>
      </c>
      <c r="K85" s="564" t="s">
        <v>527</v>
      </c>
      <c r="L85" s="285" t="s">
        <v>527</v>
      </c>
      <c r="M85" s="285" t="s">
        <v>527</v>
      </c>
      <c r="N85" s="285" t="s">
        <v>527</v>
      </c>
      <c r="O85" s="302" t="s">
        <v>527</v>
      </c>
      <c r="P85" s="564" t="s">
        <v>527</v>
      </c>
      <c r="Q85" s="285" t="s">
        <v>527</v>
      </c>
      <c r="R85" s="302" t="s">
        <v>527</v>
      </c>
      <c r="S85" s="571" t="s">
        <v>527</v>
      </c>
      <c r="T85" s="285" t="s">
        <v>527</v>
      </c>
      <c r="U85" s="56"/>
    </row>
    <row r="86" spans="1:21" s="345" customFormat="1" ht="19.5" customHeight="1">
      <c r="A86" s="59">
        <v>50</v>
      </c>
      <c r="B86" s="546" t="s">
        <v>402</v>
      </c>
      <c r="C86" s="285" t="s">
        <v>527</v>
      </c>
      <c r="D86" s="285" t="s">
        <v>527</v>
      </c>
      <c r="E86" s="285" t="s">
        <v>527</v>
      </c>
      <c r="F86" s="302" t="s">
        <v>527</v>
      </c>
      <c r="G86" s="564" t="s">
        <v>527</v>
      </c>
      <c r="H86" s="285" t="s">
        <v>527</v>
      </c>
      <c r="I86" s="285" t="s">
        <v>527</v>
      </c>
      <c r="J86" s="302" t="s">
        <v>527</v>
      </c>
      <c r="K86" s="564" t="s">
        <v>527</v>
      </c>
      <c r="L86" s="285" t="s">
        <v>527</v>
      </c>
      <c r="M86" s="285" t="s">
        <v>527</v>
      </c>
      <c r="N86" s="285" t="s">
        <v>527</v>
      </c>
      <c r="O86" s="302" t="s">
        <v>527</v>
      </c>
      <c r="P86" s="564" t="s">
        <v>527</v>
      </c>
      <c r="Q86" s="285" t="s">
        <v>527</v>
      </c>
      <c r="R86" s="302" t="s">
        <v>527</v>
      </c>
      <c r="S86" s="571" t="s">
        <v>527</v>
      </c>
      <c r="T86" s="285" t="s">
        <v>527</v>
      </c>
      <c r="U86" s="56"/>
    </row>
    <row r="87" spans="1:21" s="345" customFormat="1" ht="19.5" customHeight="1">
      <c r="A87" s="59">
        <v>51</v>
      </c>
      <c r="B87" s="547" t="s">
        <v>403</v>
      </c>
      <c r="C87" s="285" t="s">
        <v>527</v>
      </c>
      <c r="D87" s="285" t="s">
        <v>527</v>
      </c>
      <c r="E87" s="285" t="s">
        <v>527</v>
      </c>
      <c r="F87" s="302" t="s">
        <v>527</v>
      </c>
      <c r="G87" s="564" t="s">
        <v>527</v>
      </c>
      <c r="H87" s="285" t="s">
        <v>527</v>
      </c>
      <c r="I87" s="285" t="s">
        <v>527</v>
      </c>
      <c r="J87" s="302" t="s">
        <v>527</v>
      </c>
      <c r="K87" s="564" t="s">
        <v>527</v>
      </c>
      <c r="L87" s="285" t="s">
        <v>527</v>
      </c>
      <c r="M87" s="285" t="s">
        <v>527</v>
      </c>
      <c r="N87" s="285" t="s">
        <v>527</v>
      </c>
      <c r="O87" s="302" t="s">
        <v>527</v>
      </c>
      <c r="P87" s="564" t="s">
        <v>527</v>
      </c>
      <c r="Q87" s="285" t="s">
        <v>527</v>
      </c>
      <c r="R87" s="302" t="s">
        <v>527</v>
      </c>
      <c r="S87" s="571" t="s">
        <v>527</v>
      </c>
      <c r="T87" s="285" t="s">
        <v>527</v>
      </c>
      <c r="U87" s="56"/>
    </row>
    <row r="88" spans="1:21" s="345" customFormat="1" ht="19.5" customHeight="1">
      <c r="A88" s="59">
        <v>52</v>
      </c>
      <c r="B88" s="547" t="s">
        <v>404</v>
      </c>
      <c r="C88" s="285" t="s">
        <v>527</v>
      </c>
      <c r="D88" s="285" t="s">
        <v>527</v>
      </c>
      <c r="E88" s="285" t="s">
        <v>527</v>
      </c>
      <c r="F88" s="302" t="s">
        <v>527</v>
      </c>
      <c r="G88" s="564" t="s">
        <v>527</v>
      </c>
      <c r="H88" s="285" t="s">
        <v>527</v>
      </c>
      <c r="I88" s="285" t="s">
        <v>527</v>
      </c>
      <c r="J88" s="302" t="s">
        <v>527</v>
      </c>
      <c r="K88" s="564" t="s">
        <v>527</v>
      </c>
      <c r="L88" s="285" t="s">
        <v>527</v>
      </c>
      <c r="M88" s="285" t="s">
        <v>527</v>
      </c>
      <c r="N88" s="285" t="s">
        <v>527</v>
      </c>
      <c r="O88" s="302" t="s">
        <v>527</v>
      </c>
      <c r="P88" s="564" t="s">
        <v>527</v>
      </c>
      <c r="Q88" s="285" t="s">
        <v>527</v>
      </c>
      <c r="R88" s="302" t="s">
        <v>527</v>
      </c>
      <c r="S88" s="571" t="s">
        <v>527</v>
      </c>
      <c r="T88" s="285" t="s">
        <v>527</v>
      </c>
      <c r="U88" s="56"/>
    </row>
    <row r="89" spans="1:21" s="345" customFormat="1" ht="19.5" customHeight="1">
      <c r="A89" s="59">
        <v>53</v>
      </c>
      <c r="B89" s="547" t="s">
        <v>405</v>
      </c>
      <c r="C89" s="285" t="s">
        <v>527</v>
      </c>
      <c r="D89" s="285" t="s">
        <v>527</v>
      </c>
      <c r="E89" s="285" t="s">
        <v>527</v>
      </c>
      <c r="F89" s="302" t="s">
        <v>527</v>
      </c>
      <c r="G89" s="564" t="s">
        <v>527</v>
      </c>
      <c r="H89" s="285" t="s">
        <v>527</v>
      </c>
      <c r="I89" s="285" t="s">
        <v>527</v>
      </c>
      <c r="J89" s="302" t="s">
        <v>527</v>
      </c>
      <c r="K89" s="564" t="s">
        <v>527</v>
      </c>
      <c r="L89" s="285" t="s">
        <v>527</v>
      </c>
      <c r="M89" s="285" t="s">
        <v>527</v>
      </c>
      <c r="N89" s="285" t="s">
        <v>527</v>
      </c>
      <c r="O89" s="302" t="s">
        <v>527</v>
      </c>
      <c r="P89" s="564" t="s">
        <v>527</v>
      </c>
      <c r="Q89" s="285" t="s">
        <v>527</v>
      </c>
      <c r="R89" s="302" t="s">
        <v>527</v>
      </c>
      <c r="S89" s="571" t="s">
        <v>527</v>
      </c>
      <c r="T89" s="285" t="s">
        <v>527</v>
      </c>
      <c r="U89" s="56"/>
    </row>
    <row r="90" spans="1:21" s="345" customFormat="1" ht="19.5" customHeight="1">
      <c r="A90" s="59">
        <v>54</v>
      </c>
      <c r="B90" s="547" t="s">
        <v>406</v>
      </c>
      <c r="C90" s="806">
        <v>1</v>
      </c>
      <c r="D90" s="806"/>
      <c r="E90" s="785">
        <v>1</v>
      </c>
      <c r="F90" s="778"/>
      <c r="G90" s="780"/>
      <c r="H90" s="782"/>
      <c r="I90" s="782"/>
      <c r="J90" s="778"/>
      <c r="K90" s="780"/>
      <c r="L90" s="782"/>
      <c r="M90" s="782"/>
      <c r="N90" s="782"/>
      <c r="O90" s="778"/>
      <c r="P90" s="780"/>
      <c r="Q90" s="782"/>
      <c r="R90" s="778"/>
      <c r="S90" s="789"/>
      <c r="T90" s="790"/>
      <c r="U90" s="56"/>
    </row>
    <row r="91" spans="1:21" s="345" customFormat="1" ht="19.5" customHeight="1">
      <c r="A91" s="59">
        <v>55</v>
      </c>
      <c r="B91" s="547" t="s">
        <v>407</v>
      </c>
      <c r="C91" s="285" t="s">
        <v>527</v>
      </c>
      <c r="D91" s="285" t="s">
        <v>527</v>
      </c>
      <c r="E91" s="285" t="s">
        <v>527</v>
      </c>
      <c r="F91" s="302" t="s">
        <v>527</v>
      </c>
      <c r="G91" s="564" t="s">
        <v>527</v>
      </c>
      <c r="H91" s="285" t="s">
        <v>527</v>
      </c>
      <c r="I91" s="285" t="s">
        <v>527</v>
      </c>
      <c r="J91" s="302" t="s">
        <v>527</v>
      </c>
      <c r="K91" s="564" t="s">
        <v>527</v>
      </c>
      <c r="L91" s="285" t="s">
        <v>527</v>
      </c>
      <c r="M91" s="285" t="s">
        <v>527</v>
      </c>
      <c r="N91" s="285" t="s">
        <v>527</v>
      </c>
      <c r="O91" s="302" t="s">
        <v>527</v>
      </c>
      <c r="P91" s="564" t="s">
        <v>527</v>
      </c>
      <c r="Q91" s="285" t="s">
        <v>527</v>
      </c>
      <c r="R91" s="302" t="s">
        <v>527</v>
      </c>
      <c r="S91" s="571" t="s">
        <v>527</v>
      </c>
      <c r="T91" s="285" t="s">
        <v>527</v>
      </c>
      <c r="U91" s="56"/>
    </row>
    <row r="92" spans="1:21" s="345" customFormat="1" ht="19.5" customHeight="1">
      <c r="A92" s="59">
        <v>56</v>
      </c>
      <c r="B92" s="547" t="s">
        <v>408</v>
      </c>
      <c r="C92" s="285" t="s">
        <v>527</v>
      </c>
      <c r="D92" s="285" t="s">
        <v>527</v>
      </c>
      <c r="E92" s="285" t="s">
        <v>527</v>
      </c>
      <c r="F92" s="302" t="s">
        <v>527</v>
      </c>
      <c r="G92" s="564" t="s">
        <v>527</v>
      </c>
      <c r="H92" s="285" t="s">
        <v>527</v>
      </c>
      <c r="I92" s="285" t="s">
        <v>527</v>
      </c>
      <c r="J92" s="302" t="s">
        <v>527</v>
      </c>
      <c r="K92" s="564" t="s">
        <v>527</v>
      </c>
      <c r="L92" s="285" t="s">
        <v>527</v>
      </c>
      <c r="M92" s="285" t="s">
        <v>527</v>
      </c>
      <c r="N92" s="285" t="s">
        <v>527</v>
      </c>
      <c r="O92" s="302" t="s">
        <v>527</v>
      </c>
      <c r="P92" s="564" t="s">
        <v>527</v>
      </c>
      <c r="Q92" s="285" t="s">
        <v>527</v>
      </c>
      <c r="R92" s="302" t="s">
        <v>527</v>
      </c>
      <c r="S92" s="571" t="s">
        <v>527</v>
      </c>
      <c r="T92" s="285" t="s">
        <v>527</v>
      </c>
      <c r="U92" s="56"/>
    </row>
    <row r="93" spans="1:21" s="345" customFormat="1" ht="19.5" customHeight="1">
      <c r="A93" s="59">
        <v>57</v>
      </c>
      <c r="B93" s="547" t="s">
        <v>409</v>
      </c>
      <c r="C93" s="285" t="s">
        <v>527</v>
      </c>
      <c r="D93" s="285" t="s">
        <v>527</v>
      </c>
      <c r="E93" s="285" t="s">
        <v>527</v>
      </c>
      <c r="F93" s="302" t="s">
        <v>527</v>
      </c>
      <c r="G93" s="564" t="s">
        <v>527</v>
      </c>
      <c r="H93" s="285" t="s">
        <v>527</v>
      </c>
      <c r="I93" s="285" t="s">
        <v>527</v>
      </c>
      <c r="J93" s="302" t="s">
        <v>527</v>
      </c>
      <c r="K93" s="564" t="s">
        <v>527</v>
      </c>
      <c r="L93" s="285" t="s">
        <v>527</v>
      </c>
      <c r="M93" s="285" t="s">
        <v>527</v>
      </c>
      <c r="N93" s="285" t="s">
        <v>527</v>
      </c>
      <c r="O93" s="302" t="s">
        <v>527</v>
      </c>
      <c r="P93" s="564" t="s">
        <v>527</v>
      </c>
      <c r="Q93" s="285" t="s">
        <v>527</v>
      </c>
      <c r="R93" s="302" t="s">
        <v>527</v>
      </c>
      <c r="S93" s="571" t="s">
        <v>527</v>
      </c>
      <c r="T93" s="285" t="s">
        <v>527</v>
      </c>
      <c r="U93" s="56"/>
    </row>
    <row r="94" spans="1:21" s="345" customFormat="1" ht="19.5" customHeight="1">
      <c r="A94" s="59">
        <v>58</v>
      </c>
      <c r="B94" s="547" t="s">
        <v>410</v>
      </c>
      <c r="C94" s="785" t="s">
        <v>527</v>
      </c>
      <c r="D94" s="785" t="s">
        <v>527</v>
      </c>
      <c r="E94" s="785" t="s">
        <v>527</v>
      </c>
      <c r="F94" s="778" t="s">
        <v>527</v>
      </c>
      <c r="G94" s="780" t="s">
        <v>527</v>
      </c>
      <c r="H94" s="785" t="s">
        <v>527</v>
      </c>
      <c r="I94" s="785" t="s">
        <v>527</v>
      </c>
      <c r="J94" s="778" t="s">
        <v>527</v>
      </c>
      <c r="K94" s="780" t="s">
        <v>527</v>
      </c>
      <c r="L94" s="785" t="s">
        <v>527</v>
      </c>
      <c r="M94" s="782">
        <v>2</v>
      </c>
      <c r="N94" s="572">
        <v>76400</v>
      </c>
      <c r="O94" s="308">
        <f>P94+Q94</f>
        <v>2</v>
      </c>
      <c r="P94" s="565">
        <v>1</v>
      </c>
      <c r="Q94" s="572">
        <v>1</v>
      </c>
      <c r="R94" s="308">
        <f>S94+T94</f>
        <v>76400</v>
      </c>
      <c r="S94" s="568"/>
      <c r="T94" s="573">
        <v>76400</v>
      </c>
      <c r="U94" s="56"/>
    </row>
    <row r="95" spans="1:21" s="345" customFormat="1" ht="19.5" customHeight="1">
      <c r="A95" s="59">
        <v>59</v>
      </c>
      <c r="B95" s="547" t="s">
        <v>411</v>
      </c>
      <c r="C95" s="285" t="s">
        <v>527</v>
      </c>
      <c r="D95" s="285" t="s">
        <v>527</v>
      </c>
      <c r="E95" s="285" t="s">
        <v>527</v>
      </c>
      <c r="F95" s="302" t="s">
        <v>527</v>
      </c>
      <c r="G95" s="564" t="s">
        <v>527</v>
      </c>
      <c r="H95" s="285" t="s">
        <v>527</v>
      </c>
      <c r="I95" s="285" t="s">
        <v>527</v>
      </c>
      <c r="J95" s="302" t="s">
        <v>527</v>
      </c>
      <c r="K95" s="564" t="s">
        <v>527</v>
      </c>
      <c r="L95" s="285" t="s">
        <v>527</v>
      </c>
      <c r="M95" s="285" t="s">
        <v>527</v>
      </c>
      <c r="N95" s="285" t="s">
        <v>527</v>
      </c>
      <c r="O95" s="302" t="s">
        <v>527</v>
      </c>
      <c r="P95" s="564" t="s">
        <v>527</v>
      </c>
      <c r="Q95" s="285" t="s">
        <v>527</v>
      </c>
      <c r="R95" s="302" t="s">
        <v>527</v>
      </c>
      <c r="S95" s="571" t="s">
        <v>527</v>
      </c>
      <c r="T95" s="285" t="s">
        <v>527</v>
      </c>
      <c r="U95" s="56"/>
    </row>
    <row r="96" spans="1:21" s="345" customFormat="1" ht="19.5" customHeight="1">
      <c r="A96" s="59">
        <v>60</v>
      </c>
      <c r="B96" s="547" t="s">
        <v>412</v>
      </c>
      <c r="C96" s="772" t="s">
        <v>527</v>
      </c>
      <c r="D96" s="772" t="s">
        <v>527</v>
      </c>
      <c r="E96" s="772" t="s">
        <v>527</v>
      </c>
      <c r="F96" s="773" t="s">
        <v>527</v>
      </c>
      <c r="G96" s="774" t="s">
        <v>527</v>
      </c>
      <c r="H96" s="772" t="s">
        <v>527</v>
      </c>
      <c r="I96" s="772" t="s">
        <v>527</v>
      </c>
      <c r="J96" s="773" t="s">
        <v>527</v>
      </c>
      <c r="K96" s="774" t="s">
        <v>527</v>
      </c>
      <c r="L96" s="772" t="s">
        <v>527</v>
      </c>
      <c r="M96" s="572">
        <v>1</v>
      </c>
      <c r="N96" s="572">
        <v>37790</v>
      </c>
      <c r="O96" s="308">
        <f>P96+Q96</f>
        <v>1</v>
      </c>
      <c r="P96" s="565"/>
      <c r="Q96" s="572">
        <v>1</v>
      </c>
      <c r="R96" s="308">
        <f>S96+T96</f>
        <v>0</v>
      </c>
      <c r="S96" s="568">
        <f>(T96/4)*2</f>
        <v>0</v>
      </c>
      <c r="T96" s="573">
        <v>0</v>
      </c>
      <c r="U96" s="56"/>
    </row>
    <row r="97" spans="1:21" s="345" customFormat="1" ht="19.5" customHeight="1">
      <c r="A97" s="59">
        <v>61</v>
      </c>
      <c r="B97" s="547" t="s">
        <v>413</v>
      </c>
      <c r="C97" s="746"/>
      <c r="D97" s="746"/>
      <c r="E97" s="574"/>
      <c r="F97" s="575"/>
      <c r="G97" s="576"/>
      <c r="H97" s="577"/>
      <c r="I97" s="577"/>
      <c r="J97" s="575"/>
      <c r="K97" s="576"/>
      <c r="L97" s="577"/>
      <c r="M97" s="577"/>
      <c r="N97" s="577"/>
      <c r="O97" s="575"/>
      <c r="P97" s="576"/>
      <c r="Q97" s="577"/>
      <c r="R97" s="575"/>
      <c r="S97" s="578"/>
      <c r="T97" s="579"/>
      <c r="U97" s="56"/>
    </row>
    <row r="98" spans="1:21" s="345" customFormat="1" ht="19.5" customHeight="1">
      <c r="A98" s="59">
        <v>62</v>
      </c>
      <c r="B98" s="547" t="s">
        <v>414</v>
      </c>
      <c r="C98" s="285" t="s">
        <v>527</v>
      </c>
      <c r="D98" s="285" t="s">
        <v>527</v>
      </c>
      <c r="E98" s="285" t="s">
        <v>527</v>
      </c>
      <c r="F98" s="302" t="s">
        <v>527</v>
      </c>
      <c r="G98" s="564" t="s">
        <v>527</v>
      </c>
      <c r="H98" s="285" t="s">
        <v>527</v>
      </c>
      <c r="I98" s="285" t="s">
        <v>527</v>
      </c>
      <c r="J98" s="302" t="s">
        <v>527</v>
      </c>
      <c r="K98" s="564" t="s">
        <v>527</v>
      </c>
      <c r="L98" s="285" t="s">
        <v>527</v>
      </c>
      <c r="M98" s="285" t="s">
        <v>527</v>
      </c>
      <c r="N98" s="285" t="s">
        <v>527</v>
      </c>
      <c r="O98" s="302" t="s">
        <v>527</v>
      </c>
      <c r="P98" s="564" t="s">
        <v>527</v>
      </c>
      <c r="Q98" s="285" t="s">
        <v>527</v>
      </c>
      <c r="R98" s="302" t="s">
        <v>527</v>
      </c>
      <c r="S98" s="571" t="s">
        <v>527</v>
      </c>
      <c r="T98" s="285" t="s">
        <v>527</v>
      </c>
      <c r="U98" s="56"/>
    </row>
    <row r="99" spans="1:21" s="345" customFormat="1" ht="19.5" customHeight="1">
      <c r="A99" s="59">
        <v>63</v>
      </c>
      <c r="B99" s="547" t="s">
        <v>415</v>
      </c>
      <c r="C99" s="285" t="s">
        <v>527</v>
      </c>
      <c r="D99" s="285" t="s">
        <v>527</v>
      </c>
      <c r="E99" s="285" t="s">
        <v>527</v>
      </c>
      <c r="F99" s="302" t="s">
        <v>527</v>
      </c>
      <c r="G99" s="564" t="s">
        <v>527</v>
      </c>
      <c r="H99" s="285" t="s">
        <v>527</v>
      </c>
      <c r="I99" s="285" t="s">
        <v>527</v>
      </c>
      <c r="J99" s="302" t="s">
        <v>527</v>
      </c>
      <c r="K99" s="564" t="s">
        <v>527</v>
      </c>
      <c r="L99" s="285" t="s">
        <v>527</v>
      </c>
      <c r="M99" s="285" t="s">
        <v>527</v>
      </c>
      <c r="N99" s="285" t="s">
        <v>527</v>
      </c>
      <c r="O99" s="302" t="s">
        <v>527</v>
      </c>
      <c r="P99" s="564" t="s">
        <v>527</v>
      </c>
      <c r="Q99" s="285" t="s">
        <v>527</v>
      </c>
      <c r="R99" s="302" t="s">
        <v>527</v>
      </c>
      <c r="S99" s="571" t="s">
        <v>527</v>
      </c>
      <c r="T99" s="285" t="s">
        <v>527</v>
      </c>
      <c r="U99" s="56"/>
    </row>
    <row r="100" spans="1:22" s="394" customFormat="1" ht="15.75">
      <c r="A100" s="582"/>
      <c r="B100" s="583"/>
      <c r="C100" s="747"/>
      <c r="D100" s="747"/>
      <c r="E100" s="584"/>
      <c r="F100" s="585"/>
      <c r="G100" s="585"/>
      <c r="H100" s="585"/>
      <c r="I100" s="585"/>
      <c r="J100" s="585"/>
      <c r="K100" s="585"/>
      <c r="L100" s="585"/>
      <c r="M100" s="585"/>
      <c r="N100" s="585"/>
      <c r="O100" s="585"/>
      <c r="P100" s="585"/>
      <c r="Q100" s="585"/>
      <c r="R100" s="585"/>
      <c r="S100" s="586"/>
      <c r="T100" s="587"/>
      <c r="V100" s="345"/>
    </row>
    <row r="101" spans="1:22" ht="54" customHeight="1">
      <c r="A101" s="1090" t="s">
        <v>652</v>
      </c>
      <c r="B101" s="1091"/>
      <c r="C101" s="1091"/>
      <c r="D101" s="1091"/>
      <c r="E101" s="1091"/>
      <c r="F101" s="1091"/>
      <c r="G101" s="1091"/>
      <c r="H101" s="1091"/>
      <c r="I101" s="1091"/>
      <c r="J101" s="1091"/>
      <c r="K101" s="1091"/>
      <c r="L101" s="1091"/>
      <c r="M101" s="1091"/>
      <c r="N101" s="1091"/>
      <c r="O101" s="1091"/>
      <c r="P101" s="1091"/>
      <c r="Q101" s="1092">
        <f>H13+M13</f>
        <v>13</v>
      </c>
      <c r="R101" s="1093"/>
      <c r="S101" s="1093"/>
      <c r="T101" s="1094"/>
      <c r="V101" s="394"/>
    </row>
    <row r="102" spans="1:20" ht="66.75" customHeight="1">
      <c r="A102" s="1101" t="s">
        <v>653</v>
      </c>
      <c r="B102" s="1102"/>
      <c r="C102" s="1102"/>
      <c r="D102" s="1102"/>
      <c r="E102" s="1102"/>
      <c r="F102" s="1102"/>
      <c r="G102" s="1102"/>
      <c r="H102" s="1102"/>
      <c r="I102" s="1102"/>
      <c r="J102" s="1102"/>
      <c r="K102" s="1102"/>
      <c r="L102" s="1102"/>
      <c r="M102" s="1102"/>
      <c r="N102" s="1102"/>
      <c r="O102" s="1102"/>
      <c r="P102" s="1102"/>
      <c r="Q102" s="1097">
        <f>F13+O13</f>
        <v>12.5</v>
      </c>
      <c r="R102" s="1097"/>
      <c r="S102" s="1097"/>
      <c r="T102" s="1097"/>
    </row>
    <row r="103" spans="1:20" ht="54" customHeight="1">
      <c r="A103" s="1090" t="s">
        <v>0</v>
      </c>
      <c r="B103" s="1091"/>
      <c r="C103" s="1091"/>
      <c r="D103" s="1091"/>
      <c r="E103" s="1095"/>
      <c r="F103" s="1095"/>
      <c r="G103" s="1095"/>
      <c r="H103" s="1095"/>
      <c r="I103" s="1095"/>
      <c r="J103" s="1095"/>
      <c r="K103" s="1095"/>
      <c r="L103" s="1095"/>
      <c r="M103" s="1095"/>
      <c r="N103" s="1095"/>
      <c r="O103" s="1095"/>
      <c r="P103" s="1095"/>
      <c r="Q103" s="1089">
        <f>I13+N13</f>
        <v>839787</v>
      </c>
      <c r="R103" s="1089"/>
      <c r="S103" s="1089"/>
      <c r="T103" s="1089"/>
    </row>
    <row r="104" spans="1:20" ht="53.25" customHeight="1">
      <c r="A104" s="1090" t="s">
        <v>1</v>
      </c>
      <c r="B104" s="1091"/>
      <c r="C104" s="1091"/>
      <c r="D104" s="1091"/>
      <c r="E104" s="1091"/>
      <c r="F104" s="1091"/>
      <c r="G104" s="1091"/>
      <c r="H104" s="1091"/>
      <c r="I104" s="1091"/>
      <c r="J104" s="1091"/>
      <c r="K104" s="1091"/>
      <c r="L104" s="1091"/>
      <c r="M104" s="1091"/>
      <c r="N104" s="1091"/>
      <c r="O104" s="1091"/>
      <c r="P104" s="1091"/>
      <c r="Q104" s="1089">
        <f>L13+T13</f>
        <v>460284</v>
      </c>
      <c r="R104" s="1089"/>
      <c r="S104" s="1089"/>
      <c r="T104" s="1089"/>
    </row>
    <row r="105" spans="1:20" ht="53.25" customHeight="1">
      <c r="A105" s="1090" t="s">
        <v>2</v>
      </c>
      <c r="B105" s="1091"/>
      <c r="C105" s="1091"/>
      <c r="D105" s="1091"/>
      <c r="E105" s="1091"/>
      <c r="F105" s="1091"/>
      <c r="G105" s="1091"/>
      <c r="H105" s="1091"/>
      <c r="I105" s="1091"/>
      <c r="J105" s="1091"/>
      <c r="K105" s="1091"/>
      <c r="L105" s="1091"/>
      <c r="M105" s="1091"/>
      <c r="N105" s="1091"/>
      <c r="O105" s="1091"/>
      <c r="P105" s="1091"/>
      <c r="Q105" s="1097">
        <f>J13+R13</f>
        <v>460284</v>
      </c>
      <c r="R105" s="1097"/>
      <c r="S105" s="1097"/>
      <c r="T105" s="1097"/>
    </row>
    <row r="106" spans="1:20" ht="15.75" customHeight="1">
      <c r="A106" s="520"/>
      <c r="B106" s="520"/>
      <c r="C106" s="748"/>
      <c r="D106" s="748"/>
      <c r="G106" s="588"/>
      <c r="H106" s="588"/>
      <c r="I106" s="588"/>
      <c r="J106" s="588"/>
      <c r="K106" s="588"/>
      <c r="L106" s="588"/>
      <c r="M106" s="588"/>
      <c r="N106" s="588"/>
      <c r="O106" s="588"/>
      <c r="P106" s="588"/>
      <c r="Q106" s="588"/>
      <c r="R106" s="588"/>
      <c r="S106" s="247"/>
      <c r="T106" s="561"/>
    </row>
    <row r="107" spans="1:20" ht="15.75" customHeight="1">
      <c r="A107" s="520"/>
      <c r="B107" s="520"/>
      <c r="C107" s="748"/>
      <c r="D107" s="748"/>
      <c r="G107" s="588"/>
      <c r="H107" s="588"/>
      <c r="I107" s="588"/>
      <c r="J107" s="588"/>
      <c r="K107" s="588"/>
      <c r="L107" s="588"/>
      <c r="M107" s="588"/>
      <c r="N107" s="588"/>
      <c r="O107" s="588"/>
      <c r="P107" s="588"/>
      <c r="Q107" s="588"/>
      <c r="R107" s="588"/>
      <c r="S107" s="247"/>
      <c r="T107" s="561"/>
    </row>
    <row r="108" spans="1:10" s="89" customFormat="1" ht="18" customHeight="1">
      <c r="A108" s="50"/>
      <c r="B108" s="50" t="s">
        <v>342</v>
      </c>
      <c r="C108" s="749"/>
      <c r="D108" s="749"/>
      <c r="E108" s="56" t="s">
        <v>494</v>
      </c>
      <c r="H108" s="50"/>
      <c r="I108" s="88"/>
      <c r="J108" s="88"/>
    </row>
    <row r="109" spans="1:10" s="89" customFormat="1" ht="18" customHeight="1">
      <c r="A109" s="50"/>
      <c r="B109" s="50"/>
      <c r="C109" s="749"/>
      <c r="D109" s="749"/>
      <c r="E109" s="56" t="s">
        <v>353</v>
      </c>
      <c r="H109" s="50"/>
      <c r="I109" s="88"/>
      <c r="J109" s="88"/>
    </row>
    <row r="110" spans="1:8" s="87" customFormat="1" ht="18" customHeight="1">
      <c r="A110" s="50"/>
      <c r="B110" s="50" t="s">
        <v>343</v>
      </c>
      <c r="C110" s="749"/>
      <c r="D110" s="749"/>
      <c r="E110" s="50" t="s">
        <v>344</v>
      </c>
      <c r="H110" s="50"/>
    </row>
    <row r="111" spans="1:8" s="87" customFormat="1" ht="18" customHeight="1">
      <c r="A111" s="50"/>
      <c r="B111" s="50" t="s">
        <v>345</v>
      </c>
      <c r="C111" s="749"/>
      <c r="D111" s="749"/>
      <c r="E111" s="50" t="s">
        <v>346</v>
      </c>
      <c r="H111" s="50"/>
    </row>
    <row r="112" spans="1:18" s="22" customFormat="1" ht="15.75">
      <c r="A112"/>
      <c r="B112" s="142"/>
      <c r="C112" s="750"/>
      <c r="D112" s="750"/>
      <c r="E112" s="120" t="s">
        <v>493</v>
      </c>
      <c r="H112"/>
      <c r="I112"/>
      <c r="J112"/>
      <c r="K112"/>
      <c r="L112"/>
      <c r="M112"/>
      <c r="N112"/>
      <c r="O112"/>
      <c r="P112"/>
      <c r="Q112"/>
      <c r="R112" s="13"/>
    </row>
    <row r="113" spans="1:18" s="22" customFormat="1" ht="15.75">
      <c r="A113"/>
      <c r="B113" s="90"/>
      <c r="C113" s="751"/>
      <c r="D113" s="751"/>
      <c r="E113" s="50" t="s">
        <v>430</v>
      </c>
      <c r="H113"/>
      <c r="I113"/>
      <c r="J113"/>
      <c r="K113"/>
      <c r="L113"/>
      <c r="M113"/>
      <c r="N113"/>
      <c r="O113"/>
      <c r="P113"/>
      <c r="Q113"/>
      <c r="R113" s="13"/>
    </row>
    <row r="114" spans="1:18" s="22" customFormat="1" ht="15.75">
      <c r="A114"/>
      <c r="B114" s="91"/>
      <c r="C114" s="752"/>
      <c r="D114" s="752"/>
      <c r="E114" s="50" t="s">
        <v>429</v>
      </c>
      <c r="H114"/>
      <c r="I114"/>
      <c r="J114"/>
      <c r="K114"/>
      <c r="L114"/>
      <c r="M114"/>
      <c r="N114"/>
      <c r="O114"/>
      <c r="P114"/>
      <c r="Q114"/>
      <c r="R114" s="13"/>
    </row>
    <row r="115" spans="1:18" s="38" customFormat="1" ht="15.75">
      <c r="A115"/>
      <c r="B115" s="143"/>
      <c r="C115" s="753"/>
      <c r="D115" s="753"/>
      <c r="E115" s="86" t="s">
        <v>495</v>
      </c>
      <c r="H115"/>
      <c r="I115"/>
      <c r="J115"/>
      <c r="K115"/>
      <c r="L115"/>
      <c r="M115"/>
      <c r="N115"/>
      <c r="O115"/>
      <c r="P115"/>
      <c r="Q115"/>
      <c r="R115" s="13"/>
    </row>
    <row r="116" spans="1:22" s="22" customFormat="1" ht="16.5" customHeight="1">
      <c r="A116"/>
      <c r="B116" s="764"/>
      <c r="C116" s="765" t="s">
        <v>312</v>
      </c>
      <c r="D116" s="749"/>
      <c r="E116" s="13"/>
      <c r="F116" s="13"/>
      <c r="G116"/>
      <c r="H116"/>
      <c r="I116"/>
      <c r="J116"/>
      <c r="K116"/>
      <c r="L116"/>
      <c r="M116"/>
      <c r="N116"/>
      <c r="O116"/>
      <c r="P116"/>
      <c r="Q116"/>
      <c r="R116"/>
      <c r="S116"/>
      <c r="T116"/>
      <c r="U116"/>
      <c r="V116" s="13"/>
    </row>
    <row r="117" spans="1:22" s="22" customFormat="1" ht="15.75">
      <c r="A117"/>
      <c r="B117" s="779"/>
      <c r="C117" s="561" t="s">
        <v>75</v>
      </c>
      <c r="D117" s="749"/>
      <c r="E117" s="13"/>
      <c r="F117" s="13"/>
      <c r="G117"/>
      <c r="H117"/>
      <c r="I117"/>
      <c r="J117"/>
      <c r="K117"/>
      <c r="L117"/>
      <c r="M117"/>
      <c r="N117"/>
      <c r="O117"/>
      <c r="P117"/>
      <c r="Q117"/>
      <c r="R117"/>
      <c r="S117"/>
      <c r="T117"/>
      <c r="U117"/>
      <c r="V117" s="13"/>
    </row>
    <row r="118" spans="1:22" s="22" customFormat="1" ht="15.75">
      <c r="A118"/>
      <c r="B118" s="50"/>
      <c r="C118" s="749"/>
      <c r="D118" s="749"/>
      <c r="E118" s="13"/>
      <c r="F118" s="13"/>
      <c r="G118"/>
      <c r="H118"/>
      <c r="I118"/>
      <c r="J118"/>
      <c r="K118"/>
      <c r="L118"/>
      <c r="M118"/>
      <c r="N118"/>
      <c r="O118"/>
      <c r="P118"/>
      <c r="Q118"/>
      <c r="R118"/>
      <c r="S118"/>
      <c r="T118"/>
      <c r="U118"/>
      <c r="V118" s="13"/>
    </row>
    <row r="119" spans="1:20" ht="15.75" customHeight="1">
      <c r="A119" s="520"/>
      <c r="B119" s="520"/>
      <c r="C119" s="748"/>
      <c r="D119" s="748"/>
      <c r="G119" s="588"/>
      <c r="H119" s="588"/>
      <c r="I119" s="588"/>
      <c r="J119" s="588"/>
      <c r="K119" s="588"/>
      <c r="L119" s="588"/>
      <c r="M119" s="588"/>
      <c r="N119" s="588"/>
      <c r="O119" s="588"/>
      <c r="P119" s="588"/>
      <c r="Q119" s="588"/>
      <c r="R119" s="588"/>
      <c r="S119" s="247"/>
      <c r="T119" s="561"/>
    </row>
    <row r="120" spans="1:22" s="36" customFormat="1" ht="15.75">
      <c r="A120" s="561"/>
      <c r="B120" s="561"/>
      <c r="C120" s="754"/>
      <c r="D120" s="754"/>
      <c r="E120" s="561"/>
      <c r="F120" s="561"/>
      <c r="G120" s="561"/>
      <c r="H120" s="561"/>
      <c r="I120" s="561"/>
      <c r="J120" s="561"/>
      <c r="K120" s="561"/>
      <c r="L120" s="561"/>
      <c r="M120" s="589"/>
      <c r="N120" s="561"/>
      <c r="O120" s="561"/>
      <c r="P120" s="561"/>
      <c r="Q120" s="561"/>
      <c r="R120" s="561"/>
      <c r="S120" s="561"/>
      <c r="T120" s="561"/>
      <c r="U120" s="88"/>
      <c r="V120" s="247"/>
    </row>
    <row r="121" spans="1:22" s="11" customFormat="1" ht="15.75">
      <c r="A121" s="561"/>
      <c r="B121" s="561"/>
      <c r="C121" s="754"/>
      <c r="D121" s="754"/>
      <c r="E121" s="561"/>
      <c r="G121" s="561"/>
      <c r="H121" s="561"/>
      <c r="I121" s="561"/>
      <c r="J121" s="561"/>
      <c r="K121" s="561"/>
      <c r="L121" s="561"/>
      <c r="M121" s="589"/>
      <c r="N121" s="561"/>
      <c r="O121" s="561"/>
      <c r="P121" s="561"/>
      <c r="Q121" s="561"/>
      <c r="R121" s="561"/>
      <c r="S121" s="561"/>
      <c r="T121" s="561"/>
      <c r="U121" s="87"/>
      <c r="V121" s="36"/>
    </row>
    <row r="122" spans="1:21" s="11" customFormat="1" ht="15.75">
      <c r="A122" s="561"/>
      <c r="B122" s="561"/>
      <c r="C122" s="754"/>
      <c r="D122" s="754"/>
      <c r="E122" s="561"/>
      <c r="F122" s="561"/>
      <c r="G122" s="561"/>
      <c r="H122" s="561"/>
      <c r="I122" s="561"/>
      <c r="J122" s="561"/>
      <c r="K122" s="561"/>
      <c r="L122" s="561"/>
      <c r="M122" s="561"/>
      <c r="N122" s="561"/>
      <c r="O122" s="561"/>
      <c r="P122" s="561"/>
      <c r="Q122" s="561"/>
      <c r="R122" s="561"/>
      <c r="S122" s="561"/>
      <c r="T122" s="561"/>
      <c r="U122" s="87"/>
    </row>
    <row r="123" spans="1:21" s="11" customFormat="1" ht="15.75">
      <c r="A123" s="561"/>
      <c r="B123" s="561"/>
      <c r="C123" s="754"/>
      <c r="D123" s="754"/>
      <c r="E123" s="561"/>
      <c r="G123" s="561"/>
      <c r="H123" s="561"/>
      <c r="I123" s="561"/>
      <c r="J123" s="561"/>
      <c r="K123" s="561"/>
      <c r="L123" s="561"/>
      <c r="M123" s="589"/>
      <c r="N123" s="561"/>
      <c r="O123" s="561"/>
      <c r="P123" s="561"/>
      <c r="Q123" s="561"/>
      <c r="R123" s="561"/>
      <c r="S123" s="561"/>
      <c r="U123" s="87"/>
    </row>
    <row r="124" spans="1:21" s="11" customFormat="1" ht="15.75">
      <c r="A124" s="561"/>
      <c r="B124" s="561"/>
      <c r="C124" s="754"/>
      <c r="D124" s="754"/>
      <c r="E124" s="561"/>
      <c r="G124" s="561"/>
      <c r="H124" s="561"/>
      <c r="I124" s="561"/>
      <c r="J124" s="561"/>
      <c r="K124" s="561"/>
      <c r="L124" s="561"/>
      <c r="M124" s="589"/>
      <c r="N124" s="561"/>
      <c r="O124" s="561"/>
      <c r="P124" s="561"/>
      <c r="Q124" s="561"/>
      <c r="R124" s="561"/>
      <c r="S124" s="561"/>
      <c r="U124" s="87"/>
    </row>
    <row r="125" spans="1:21" s="11" customFormat="1" ht="15.75">
      <c r="A125" s="561"/>
      <c r="B125" s="561"/>
      <c r="C125" s="754"/>
      <c r="D125" s="754"/>
      <c r="E125" s="561"/>
      <c r="F125" s="561"/>
      <c r="G125" s="561"/>
      <c r="H125" s="561"/>
      <c r="I125" s="561"/>
      <c r="J125" s="561"/>
      <c r="K125" s="561"/>
      <c r="L125" s="561"/>
      <c r="M125" s="561"/>
      <c r="N125" s="561"/>
      <c r="O125" s="561"/>
      <c r="P125" s="561"/>
      <c r="Q125" s="561"/>
      <c r="R125" s="561"/>
      <c r="S125" s="561"/>
      <c r="U125" s="87"/>
    </row>
    <row r="126" spans="1:21" s="11" customFormat="1" ht="15.75">
      <c r="A126" s="561"/>
      <c r="B126" s="561"/>
      <c r="C126" s="754"/>
      <c r="D126" s="754"/>
      <c r="E126" s="561"/>
      <c r="F126" s="561"/>
      <c r="G126" s="561"/>
      <c r="H126" s="561"/>
      <c r="I126" s="561"/>
      <c r="J126" s="561"/>
      <c r="K126" s="561"/>
      <c r="L126" s="561"/>
      <c r="M126" s="561"/>
      <c r="N126" s="561"/>
      <c r="O126" s="561"/>
      <c r="P126" s="561"/>
      <c r="Q126" s="561"/>
      <c r="R126" s="561"/>
      <c r="S126" s="561"/>
      <c r="U126" s="87"/>
    </row>
    <row r="127" spans="3:22" s="590" customFormat="1" ht="15.75">
      <c r="C127" s="755"/>
      <c r="D127" s="755"/>
      <c r="E127" s="561"/>
      <c r="N127" s="591"/>
      <c r="S127" s="247"/>
      <c r="T127" s="592"/>
      <c r="U127" s="593"/>
      <c r="V127" s="11"/>
    </row>
    <row r="128" spans="3:22" s="247" customFormat="1" ht="15.75">
      <c r="C128" s="756"/>
      <c r="D128" s="756"/>
      <c r="E128" s="561"/>
      <c r="T128" s="561"/>
      <c r="U128" s="50"/>
      <c r="V128" s="590"/>
    </row>
    <row r="129" spans="3:21" s="247" customFormat="1" ht="15.75">
      <c r="C129" s="756"/>
      <c r="D129" s="756"/>
      <c r="T129" s="561"/>
      <c r="U129" s="50"/>
    </row>
    <row r="130" spans="3:21" s="247" customFormat="1" ht="15.75">
      <c r="C130" s="756"/>
      <c r="D130" s="756"/>
      <c r="T130" s="561"/>
      <c r="U130" s="50"/>
    </row>
  </sheetData>
  <sheetProtection/>
  <mergeCells count="51">
    <mergeCell ref="C6:L6"/>
    <mergeCell ref="C7:E8"/>
    <mergeCell ref="D9:E9"/>
    <mergeCell ref="E10:E11"/>
    <mergeCell ref="D10:D11"/>
    <mergeCell ref="C9:C11"/>
    <mergeCell ref="K9:L9"/>
    <mergeCell ref="A1:E1"/>
    <mergeCell ref="A4:T4"/>
    <mergeCell ref="F9:F11"/>
    <mergeCell ref="G9:H9"/>
    <mergeCell ref="G10:G11"/>
    <mergeCell ref="H10:H11"/>
    <mergeCell ref="M6:T6"/>
    <mergeCell ref="L10:L11"/>
    <mergeCell ref="O7:T7"/>
    <mergeCell ref="A6:B11"/>
    <mergeCell ref="A105:P105"/>
    <mergeCell ref="Q105:T105"/>
    <mergeCell ref="M8:M11"/>
    <mergeCell ref="N8:N11"/>
    <mergeCell ref="O8:Q8"/>
    <mergeCell ref="A12:B12"/>
    <mergeCell ref="A13:B13"/>
    <mergeCell ref="K10:K11"/>
    <mergeCell ref="F8:H8"/>
    <mergeCell ref="P10:P11"/>
    <mergeCell ref="A3:T3"/>
    <mergeCell ref="R8:T8"/>
    <mergeCell ref="A102:P102"/>
    <mergeCell ref="I8:I11"/>
    <mergeCell ref="S10:S11"/>
    <mergeCell ref="M7:N7"/>
    <mergeCell ref="Q10:Q11"/>
    <mergeCell ref="J8:L8"/>
    <mergeCell ref="P9:Q9"/>
    <mergeCell ref="F7:L7"/>
    <mergeCell ref="A36:B36"/>
    <mergeCell ref="R9:R11"/>
    <mergeCell ref="J9:J11"/>
    <mergeCell ref="Q102:T102"/>
    <mergeCell ref="T10:T11"/>
    <mergeCell ref="S9:T9"/>
    <mergeCell ref="A14:B14"/>
    <mergeCell ref="O9:O11"/>
    <mergeCell ref="Q104:T104"/>
    <mergeCell ref="A101:P101"/>
    <mergeCell ref="Q101:T101"/>
    <mergeCell ref="A103:P103"/>
    <mergeCell ref="Q103:T103"/>
    <mergeCell ref="A104:P104"/>
  </mergeCells>
  <printOptions/>
  <pageMargins left="0" right="0" top="0.25" bottom="0.25" header="0.5" footer="0.5"/>
  <pageSetup horizontalDpi="600" verticalDpi="600" orientation="landscape" paperSize="9" scale="85" r:id="rId2"/>
  <drawing r:id="rId1"/>
</worksheet>
</file>

<file path=xl/worksheets/sheet16.xml><?xml version="1.0" encoding="utf-8"?>
<worksheet xmlns="http://schemas.openxmlformats.org/spreadsheetml/2006/main" xmlns:r="http://schemas.openxmlformats.org/officeDocument/2006/relationships">
  <dimension ref="A1:Y88"/>
  <sheetViews>
    <sheetView zoomScalePageLayoutView="0" workbookViewId="0" topLeftCell="A1">
      <selection activeCell="P14" sqref="P14"/>
    </sheetView>
  </sheetViews>
  <sheetFormatPr defaultColWidth="9.140625" defaultRowHeight="12.75"/>
  <cols>
    <col min="1" max="2" width="4.140625" style="224" customWidth="1"/>
    <col min="3" max="3" width="13.00390625" style="224" customWidth="1"/>
    <col min="4" max="4" width="9.57421875" style="214" customWidth="1"/>
    <col min="5" max="5" width="8.8515625" style="214" customWidth="1"/>
    <col min="6" max="6" width="9.00390625" style="214" customWidth="1"/>
    <col min="7" max="7" width="10.140625" style="214" customWidth="1"/>
    <col min="8" max="8" width="11.140625" style="214" customWidth="1"/>
    <col min="9" max="9" width="15.140625" style="214" bestFit="1" customWidth="1"/>
    <col min="10" max="10" width="11.140625" style="214" customWidth="1"/>
    <col min="11" max="11" width="11.28125" style="214" customWidth="1"/>
    <col min="12" max="12" width="9.7109375" style="214" customWidth="1"/>
    <col min="13" max="13" width="8.7109375" style="214" customWidth="1"/>
    <col min="14" max="14" width="11.140625" style="214" customWidth="1"/>
    <col min="15" max="15" width="10.57421875" style="214" customWidth="1"/>
    <col min="16" max="16" width="33.7109375" style="56" customWidth="1"/>
    <col min="17" max="16384" width="9.140625" style="224" customWidth="1"/>
  </cols>
  <sheetData>
    <row r="1" spans="1:15" ht="18.75">
      <c r="A1" s="1114" t="s">
        <v>318</v>
      </c>
      <c r="B1" s="1114"/>
      <c r="C1" s="1114"/>
      <c r="D1" s="441"/>
      <c r="E1" s="441"/>
      <c r="F1" s="441"/>
      <c r="G1" s="441"/>
      <c r="H1" s="441"/>
      <c r="I1" s="441"/>
      <c r="J1" s="441"/>
      <c r="K1" s="441"/>
      <c r="L1" s="441"/>
      <c r="M1" s="441"/>
      <c r="N1" s="441"/>
      <c r="O1" s="441"/>
    </row>
    <row r="2" spans="1:15" ht="18.75" customHeight="1">
      <c r="A2" s="1115" t="s">
        <v>255</v>
      </c>
      <c r="B2" s="1115"/>
      <c r="C2" s="1115"/>
      <c r="D2" s="1115"/>
      <c r="E2" s="1115"/>
      <c r="F2" s="1115"/>
      <c r="G2" s="1115"/>
      <c r="H2" s="1115"/>
      <c r="I2" s="1115"/>
      <c r="J2" s="1115"/>
      <c r="K2" s="1115"/>
      <c r="L2" s="1115"/>
      <c r="M2" s="1115"/>
      <c r="N2" s="1115"/>
      <c r="O2" s="1115"/>
    </row>
    <row r="3" spans="1:15" ht="37.5" customHeight="1">
      <c r="A3" s="1116" t="s">
        <v>256</v>
      </c>
      <c r="B3" s="1116"/>
      <c r="C3" s="1116"/>
      <c r="D3" s="1116"/>
      <c r="E3" s="1116"/>
      <c r="F3" s="1116"/>
      <c r="G3" s="1116"/>
      <c r="H3" s="1116"/>
      <c r="I3" s="1116"/>
      <c r="J3" s="1116"/>
      <c r="K3" s="1116"/>
      <c r="L3" s="1116"/>
      <c r="M3" s="1116"/>
      <c r="N3" s="1116"/>
      <c r="O3" s="1116"/>
    </row>
    <row r="4" spans="1:15" ht="18.75">
      <c r="A4" s="1116" t="s">
        <v>257</v>
      </c>
      <c r="B4" s="1116"/>
      <c r="C4" s="1116"/>
      <c r="D4" s="1116"/>
      <c r="E4" s="1116"/>
      <c r="F4" s="1116"/>
      <c r="G4" s="1116"/>
      <c r="H4" s="1116"/>
      <c r="I4" s="1116"/>
      <c r="J4" s="1116"/>
      <c r="K4" s="1116"/>
      <c r="L4" s="1116"/>
      <c r="M4" s="1116"/>
      <c r="N4" s="1116"/>
      <c r="O4" s="1116"/>
    </row>
    <row r="5" spans="1:19" ht="18.75">
      <c r="A5" s="1017" t="s">
        <v>319</v>
      </c>
      <c r="B5" s="1017"/>
      <c r="C5" s="1017"/>
      <c r="D5" s="1017"/>
      <c r="E5" s="1017"/>
      <c r="F5" s="1017"/>
      <c r="G5" s="1017"/>
      <c r="H5" s="1017"/>
      <c r="I5" s="1017"/>
      <c r="J5" s="1017"/>
      <c r="K5" s="1017"/>
      <c r="L5" s="1017"/>
      <c r="M5" s="1017"/>
      <c r="N5" s="1017"/>
      <c r="O5" s="1017"/>
      <c r="P5" s="594"/>
      <c r="Q5" s="595"/>
      <c r="R5" s="595"/>
      <c r="S5" s="595"/>
    </row>
    <row r="6" spans="1:15" ht="15.75">
      <c r="A6" s="166"/>
      <c r="B6" s="166"/>
      <c r="C6" s="166"/>
      <c r="D6" s="596"/>
      <c r="E6" s="596"/>
      <c r="F6" s="596"/>
      <c r="G6" s="596"/>
      <c r="H6" s="596"/>
      <c r="I6" s="596"/>
      <c r="J6" s="596"/>
      <c r="K6" s="596"/>
      <c r="L6" s="596"/>
      <c r="M6" s="596"/>
      <c r="N6" s="596"/>
      <c r="O6" s="596"/>
    </row>
    <row r="7" spans="1:15" s="56" customFormat="1" ht="69.75" customHeight="1">
      <c r="A7" s="865"/>
      <c r="B7" s="866"/>
      <c r="C7" s="867"/>
      <c r="D7" s="877" t="s">
        <v>279</v>
      </c>
      <c r="E7" s="878"/>
      <c r="F7" s="878"/>
      <c r="G7" s="879"/>
      <c r="H7" s="1124" t="s">
        <v>280</v>
      </c>
      <c r="I7" s="1124"/>
      <c r="J7" s="1124"/>
      <c r="K7" s="1124"/>
      <c r="L7" s="877" t="s">
        <v>258</v>
      </c>
      <c r="M7" s="878"/>
      <c r="N7" s="878"/>
      <c r="O7" s="879"/>
    </row>
    <row r="8" spans="1:15" s="56" customFormat="1" ht="25.5" customHeight="1">
      <c r="A8" s="905"/>
      <c r="B8" s="1123"/>
      <c r="C8" s="906"/>
      <c r="D8" s="854" t="s">
        <v>259</v>
      </c>
      <c r="E8" s="852" t="s">
        <v>260</v>
      </c>
      <c r="F8" s="873"/>
      <c r="G8" s="853"/>
      <c r="H8" s="854" t="s">
        <v>259</v>
      </c>
      <c r="I8" s="852" t="s">
        <v>260</v>
      </c>
      <c r="J8" s="873"/>
      <c r="K8" s="853"/>
      <c r="L8" s="854" t="s">
        <v>259</v>
      </c>
      <c r="M8" s="852" t="s">
        <v>260</v>
      </c>
      <c r="N8" s="873"/>
      <c r="O8" s="853"/>
    </row>
    <row r="9" spans="1:15" s="56" customFormat="1" ht="16.5" customHeight="1">
      <c r="A9" s="905"/>
      <c r="B9" s="1123"/>
      <c r="C9" s="906"/>
      <c r="D9" s="856"/>
      <c r="E9" s="849" t="s">
        <v>511</v>
      </c>
      <c r="F9" s="849" t="s">
        <v>321</v>
      </c>
      <c r="G9" s="849"/>
      <c r="H9" s="856"/>
      <c r="I9" s="849" t="s">
        <v>511</v>
      </c>
      <c r="J9" s="849" t="s">
        <v>321</v>
      </c>
      <c r="K9" s="849"/>
      <c r="L9" s="856"/>
      <c r="M9" s="849" t="s">
        <v>511</v>
      </c>
      <c r="N9" s="849" t="s">
        <v>321</v>
      </c>
      <c r="O9" s="849"/>
    </row>
    <row r="10" spans="1:15" s="56" customFormat="1" ht="84" customHeight="1">
      <c r="A10" s="896"/>
      <c r="B10" s="897"/>
      <c r="C10" s="898"/>
      <c r="D10" s="855"/>
      <c r="E10" s="849"/>
      <c r="F10" s="95" t="s">
        <v>333</v>
      </c>
      <c r="G10" s="95" t="s">
        <v>320</v>
      </c>
      <c r="H10" s="855"/>
      <c r="I10" s="849"/>
      <c r="J10" s="95" t="s">
        <v>333</v>
      </c>
      <c r="K10" s="95" t="s">
        <v>320</v>
      </c>
      <c r="L10" s="855"/>
      <c r="M10" s="849"/>
      <c r="N10" s="95" t="s">
        <v>333</v>
      </c>
      <c r="O10" s="95" t="s">
        <v>320</v>
      </c>
    </row>
    <row r="11" spans="1:15" s="56" customFormat="1" ht="15.75">
      <c r="A11" s="903" t="s">
        <v>323</v>
      </c>
      <c r="B11" s="904"/>
      <c r="C11" s="886"/>
      <c r="D11" s="597">
        <v>-1</v>
      </c>
      <c r="E11" s="598">
        <v>-2</v>
      </c>
      <c r="F11" s="597">
        <v>-3</v>
      </c>
      <c r="G11" s="598">
        <v>-4</v>
      </c>
      <c r="H11" s="597">
        <v>-5</v>
      </c>
      <c r="I11" s="598">
        <v>-6</v>
      </c>
      <c r="J11" s="597">
        <v>-7</v>
      </c>
      <c r="K11" s="598">
        <v>-8</v>
      </c>
      <c r="L11" s="597">
        <v>-9</v>
      </c>
      <c r="M11" s="598">
        <v>-10</v>
      </c>
      <c r="N11" s="597">
        <v>-11</v>
      </c>
      <c r="O11" s="598">
        <v>-12</v>
      </c>
    </row>
    <row r="12" spans="1:15" s="56" customFormat="1" ht="19.5" customHeight="1">
      <c r="A12" s="1117" t="s">
        <v>261</v>
      </c>
      <c r="B12" s="1118"/>
      <c r="C12" s="1119"/>
      <c r="D12" s="599">
        <f aca="true" t="shared" si="0" ref="D12:O12">D13+D14</f>
        <v>171</v>
      </c>
      <c r="E12" s="599">
        <f t="shared" si="0"/>
        <v>171</v>
      </c>
      <c r="F12" s="599">
        <f t="shared" si="0"/>
        <v>0</v>
      </c>
      <c r="G12" s="599">
        <f t="shared" si="0"/>
        <v>171</v>
      </c>
      <c r="H12" s="599">
        <f t="shared" si="0"/>
        <v>695850</v>
      </c>
      <c r="I12" s="599">
        <f t="shared" si="0"/>
        <v>1068439.5</v>
      </c>
      <c r="J12" s="599">
        <f t="shared" si="0"/>
        <v>375612.5</v>
      </c>
      <c r="K12" s="599">
        <f t="shared" si="0"/>
        <v>692827</v>
      </c>
      <c r="L12" s="599">
        <f t="shared" si="0"/>
        <v>3111</v>
      </c>
      <c r="M12" s="599">
        <f t="shared" si="0"/>
        <v>4522.5</v>
      </c>
      <c r="N12" s="599">
        <f t="shared" si="0"/>
        <v>1445.5</v>
      </c>
      <c r="O12" s="599">
        <f t="shared" si="0"/>
        <v>3077</v>
      </c>
    </row>
    <row r="13" spans="1:15" s="56" customFormat="1" ht="30" customHeight="1">
      <c r="A13" s="1120" t="s">
        <v>262</v>
      </c>
      <c r="B13" s="1121"/>
      <c r="C13" s="1122"/>
      <c r="D13" s="808">
        <f>162+9</f>
        <v>171</v>
      </c>
      <c r="E13" s="809">
        <f>F13+G13</f>
        <v>171</v>
      </c>
      <c r="F13" s="807"/>
      <c r="G13" s="808">
        <f>162+9</f>
        <v>171</v>
      </c>
      <c r="H13" s="9">
        <v>0</v>
      </c>
      <c r="I13" s="318">
        <f>J13+K13</f>
        <v>0</v>
      </c>
      <c r="J13" s="9">
        <v>0</v>
      </c>
      <c r="K13" s="9">
        <v>0</v>
      </c>
      <c r="L13" s="766">
        <v>11</v>
      </c>
      <c r="M13" s="809">
        <f>N13+O13</f>
        <v>11</v>
      </c>
      <c r="N13" s="9"/>
      <c r="O13" s="766">
        <v>11</v>
      </c>
    </row>
    <row r="14" spans="1:15" s="56" customFormat="1" ht="42.75" customHeight="1">
      <c r="A14" s="1120" t="s">
        <v>263</v>
      </c>
      <c r="B14" s="1118"/>
      <c r="C14" s="1119"/>
      <c r="D14" s="600">
        <v>0</v>
      </c>
      <c r="E14" s="600">
        <v>0</v>
      </c>
      <c r="F14" s="600">
        <v>0</v>
      </c>
      <c r="G14" s="600">
        <v>0</v>
      </c>
      <c r="H14" s="100">
        <f aca="true" t="shared" si="1" ref="H14:O14">SUM(H15:H77)</f>
        <v>695850</v>
      </c>
      <c r="I14" s="100">
        <f t="shared" si="1"/>
        <v>1068439.5</v>
      </c>
      <c r="J14" s="100">
        <f t="shared" si="1"/>
        <v>375612.5</v>
      </c>
      <c r="K14" s="100">
        <f t="shared" si="1"/>
        <v>692827</v>
      </c>
      <c r="L14" s="100">
        <f t="shared" si="1"/>
        <v>3100</v>
      </c>
      <c r="M14" s="100">
        <f t="shared" si="1"/>
        <v>4511.5</v>
      </c>
      <c r="N14" s="100">
        <f t="shared" si="1"/>
        <v>1445.5</v>
      </c>
      <c r="O14" s="100">
        <f t="shared" si="1"/>
        <v>3066</v>
      </c>
    </row>
    <row r="15" spans="1:15" s="56" customFormat="1" ht="19.5" customHeight="1">
      <c r="A15" s="601">
        <v>1</v>
      </c>
      <c r="B15" s="1018" t="s">
        <v>449</v>
      </c>
      <c r="C15" s="1019"/>
      <c r="D15" s="600">
        <v>0</v>
      </c>
      <c r="E15" s="600">
        <v>0</v>
      </c>
      <c r="F15" s="600">
        <v>0</v>
      </c>
      <c r="G15" s="600">
        <v>0</v>
      </c>
      <c r="H15" s="9">
        <f>9215+658+27+5332</f>
        <v>15232</v>
      </c>
      <c r="I15" s="103">
        <f aca="true" t="shared" si="2" ref="I15:I43">J15+K15</f>
        <v>26656</v>
      </c>
      <c r="J15" s="602">
        <v>11424</v>
      </c>
      <c r="K15" s="9">
        <f>9215+658+27+5332</f>
        <v>15232</v>
      </c>
      <c r="L15" s="9">
        <v>148</v>
      </c>
      <c r="M15" s="103">
        <f aca="true" t="shared" si="3" ref="M15:M43">N15+O15</f>
        <v>222</v>
      </c>
      <c r="N15" s="152">
        <f>(O15/4)*2</f>
        <v>74</v>
      </c>
      <c r="O15" s="9">
        <v>148</v>
      </c>
    </row>
    <row r="16" spans="1:15" s="56" customFormat="1" ht="19.5" customHeight="1">
      <c r="A16" s="601">
        <v>2</v>
      </c>
      <c r="B16" s="1018" t="s">
        <v>233</v>
      </c>
      <c r="C16" s="1019"/>
      <c r="D16" s="600">
        <v>0</v>
      </c>
      <c r="E16" s="600">
        <v>0</v>
      </c>
      <c r="F16" s="600">
        <v>0</v>
      </c>
      <c r="G16" s="600">
        <v>0</v>
      </c>
      <c r="H16" s="9">
        <f>8510+29+17+8200</f>
        <v>16756</v>
      </c>
      <c r="I16" s="103">
        <f t="shared" si="2"/>
        <v>25119</v>
      </c>
      <c r="J16" s="602">
        <v>8378</v>
      </c>
      <c r="K16" s="9">
        <f>8495+29+17+8200</f>
        <v>16741</v>
      </c>
      <c r="L16" s="9">
        <v>0</v>
      </c>
      <c r="M16" s="103">
        <f t="shared" si="3"/>
        <v>0</v>
      </c>
      <c r="N16" s="152">
        <v>0</v>
      </c>
      <c r="O16" s="9">
        <v>0</v>
      </c>
    </row>
    <row r="17" spans="1:16" ht="19.5" customHeight="1">
      <c r="A17" s="601">
        <v>3</v>
      </c>
      <c r="B17" s="1018" t="s">
        <v>451</v>
      </c>
      <c r="C17" s="1019"/>
      <c r="D17" s="600">
        <v>0</v>
      </c>
      <c r="E17" s="600">
        <v>0</v>
      </c>
      <c r="F17" s="600">
        <v>0</v>
      </c>
      <c r="G17" s="600">
        <v>0</v>
      </c>
      <c r="H17" s="603">
        <f>4930+18+8+4000</f>
        <v>8956</v>
      </c>
      <c r="I17" s="103">
        <f t="shared" si="2"/>
        <v>13441</v>
      </c>
      <c r="J17" s="338">
        <v>4485</v>
      </c>
      <c r="K17" s="603">
        <f>4930+18+8+4000</f>
        <v>8956</v>
      </c>
      <c r="L17" s="14">
        <v>14</v>
      </c>
      <c r="M17" s="103">
        <f t="shared" si="3"/>
        <v>21</v>
      </c>
      <c r="N17" s="152">
        <f>(O17/4)*2</f>
        <v>7</v>
      </c>
      <c r="O17" s="14">
        <v>14</v>
      </c>
      <c r="P17" s="56" t="s">
        <v>264</v>
      </c>
    </row>
    <row r="18" spans="1:15" ht="19.5" customHeight="1">
      <c r="A18" s="601">
        <v>4</v>
      </c>
      <c r="B18" s="1031" t="s">
        <v>452</v>
      </c>
      <c r="C18" s="1032"/>
      <c r="D18" s="600">
        <v>0</v>
      </c>
      <c r="E18" s="600">
        <v>0</v>
      </c>
      <c r="F18" s="600">
        <v>0</v>
      </c>
      <c r="G18" s="600">
        <v>0</v>
      </c>
      <c r="H18" s="14">
        <f>510+450</f>
        <v>960</v>
      </c>
      <c r="I18" s="103">
        <f t="shared" si="2"/>
        <v>1440</v>
      </c>
      <c r="J18" s="152">
        <f>(K18/4)*2</f>
        <v>480</v>
      </c>
      <c r="K18" s="14">
        <f>510+450</f>
        <v>960</v>
      </c>
      <c r="L18" s="14">
        <v>0</v>
      </c>
      <c r="M18" s="103">
        <f t="shared" si="3"/>
        <v>0</v>
      </c>
      <c r="N18" s="152">
        <f>(O18/4)*2</f>
        <v>0</v>
      </c>
      <c r="O18" s="14">
        <v>0</v>
      </c>
    </row>
    <row r="19" spans="1:15" ht="15.75">
      <c r="A19" s="601">
        <v>5</v>
      </c>
      <c r="B19" s="1031" t="s">
        <v>453</v>
      </c>
      <c r="C19" s="1032"/>
      <c r="D19" s="600">
        <v>0</v>
      </c>
      <c r="E19" s="600">
        <v>0</v>
      </c>
      <c r="F19" s="600">
        <v>0</v>
      </c>
      <c r="G19" s="600">
        <v>0</v>
      </c>
      <c r="H19" s="14">
        <f>18+17+32</f>
        <v>67</v>
      </c>
      <c r="I19" s="103">
        <f t="shared" si="2"/>
        <v>100.5</v>
      </c>
      <c r="J19" s="152">
        <f>(K19/4)*2</f>
        <v>33.5</v>
      </c>
      <c r="K19" s="14">
        <f>18+17+32</f>
        <v>67</v>
      </c>
      <c r="L19" s="14">
        <v>0</v>
      </c>
      <c r="M19" s="103">
        <f t="shared" si="3"/>
        <v>0</v>
      </c>
      <c r="N19" s="152">
        <f>(O19/4)*2</f>
        <v>0</v>
      </c>
      <c r="O19" s="14">
        <v>0</v>
      </c>
    </row>
    <row r="20" spans="1:15" ht="15.75">
      <c r="A20" s="601">
        <v>6</v>
      </c>
      <c r="B20" s="1031" t="s">
        <v>454</v>
      </c>
      <c r="C20" s="1032"/>
      <c r="D20" s="600">
        <v>0</v>
      </c>
      <c r="E20" s="600">
        <v>0</v>
      </c>
      <c r="F20" s="600">
        <v>0</v>
      </c>
      <c r="G20" s="600">
        <v>0</v>
      </c>
      <c r="H20" s="14">
        <f>6226+17+4085</f>
        <v>10328</v>
      </c>
      <c r="I20" s="103">
        <f t="shared" si="2"/>
        <v>13771</v>
      </c>
      <c r="J20" s="602">
        <v>3443</v>
      </c>
      <c r="K20" s="14">
        <f>6226+17+4085</f>
        <v>10328</v>
      </c>
      <c r="L20" s="14">
        <v>5</v>
      </c>
      <c r="M20" s="103">
        <f t="shared" si="3"/>
        <v>7</v>
      </c>
      <c r="N20" s="152">
        <v>2</v>
      </c>
      <c r="O20" s="14">
        <v>5</v>
      </c>
    </row>
    <row r="21" spans="1:15" ht="15.75">
      <c r="A21" s="601">
        <v>7</v>
      </c>
      <c r="B21" s="1031" t="s">
        <v>455</v>
      </c>
      <c r="C21" s="1032"/>
      <c r="D21" s="600">
        <v>0</v>
      </c>
      <c r="E21" s="600">
        <v>0</v>
      </c>
      <c r="F21" s="600">
        <v>0</v>
      </c>
      <c r="G21" s="600">
        <v>0</v>
      </c>
      <c r="H21" s="14">
        <f>13017+17+10312</f>
        <v>23346</v>
      </c>
      <c r="I21" s="103">
        <f t="shared" si="2"/>
        <v>35019</v>
      </c>
      <c r="J21" s="152">
        <f>(K21/4)*2</f>
        <v>11673</v>
      </c>
      <c r="K21" s="14">
        <f>13017+17+10312</f>
        <v>23346</v>
      </c>
      <c r="L21" s="14">
        <v>0</v>
      </c>
      <c r="M21" s="103">
        <f t="shared" si="3"/>
        <v>0</v>
      </c>
      <c r="N21" s="152">
        <f>(O21/4)*2</f>
        <v>0</v>
      </c>
      <c r="O21" s="14">
        <v>0</v>
      </c>
    </row>
    <row r="22" spans="1:15" ht="15.75">
      <c r="A22" s="601">
        <v>8</v>
      </c>
      <c r="B22" s="1038" t="s">
        <v>456</v>
      </c>
      <c r="C22" s="1039"/>
      <c r="D22" s="600">
        <v>0</v>
      </c>
      <c r="E22" s="600">
        <v>0</v>
      </c>
      <c r="F22" s="600">
        <v>0</v>
      </c>
      <c r="G22" s="600">
        <v>0</v>
      </c>
      <c r="H22" s="14">
        <f>3691+39+3512</f>
        <v>7242</v>
      </c>
      <c r="I22" s="103">
        <f t="shared" si="2"/>
        <v>10785</v>
      </c>
      <c r="J22" s="152">
        <f>(K22/4)*2</f>
        <v>3595</v>
      </c>
      <c r="K22" s="14">
        <f>3655+39+3496</f>
        <v>7190</v>
      </c>
      <c r="L22" s="14">
        <v>0</v>
      </c>
      <c r="M22" s="103">
        <f t="shared" si="3"/>
        <v>0</v>
      </c>
      <c r="N22" s="152">
        <f>(O22/4)*2</f>
        <v>0</v>
      </c>
      <c r="O22" s="14">
        <v>0</v>
      </c>
    </row>
    <row r="23" spans="1:15" ht="15.75">
      <c r="A23" s="601">
        <v>9</v>
      </c>
      <c r="B23" s="1031" t="s">
        <v>457</v>
      </c>
      <c r="C23" s="1032"/>
      <c r="D23" s="600">
        <v>0</v>
      </c>
      <c r="E23" s="600">
        <v>0</v>
      </c>
      <c r="F23" s="600">
        <v>0</v>
      </c>
      <c r="G23" s="600">
        <v>0</v>
      </c>
      <c r="H23" s="14">
        <f>6837+375+5+4918</f>
        <v>12135</v>
      </c>
      <c r="I23" s="103">
        <f t="shared" si="2"/>
        <v>18095</v>
      </c>
      <c r="J23" s="602">
        <v>5960</v>
      </c>
      <c r="K23" s="14">
        <f>6837+375+5+4918</f>
        <v>12135</v>
      </c>
      <c r="L23" s="14">
        <v>32</v>
      </c>
      <c r="M23" s="103">
        <f t="shared" si="3"/>
        <v>46</v>
      </c>
      <c r="N23" s="602">
        <v>14</v>
      </c>
      <c r="O23" s="14">
        <v>32</v>
      </c>
    </row>
    <row r="24" spans="1:16" ht="15.75">
      <c r="A24" s="601">
        <v>10</v>
      </c>
      <c r="B24" s="1031" t="s">
        <v>362</v>
      </c>
      <c r="C24" s="1032"/>
      <c r="D24" s="600">
        <v>0</v>
      </c>
      <c r="E24" s="600">
        <v>0</v>
      </c>
      <c r="F24" s="600">
        <v>0</v>
      </c>
      <c r="G24" s="600">
        <v>0</v>
      </c>
      <c r="H24" s="603">
        <f>20471+10+3+14939</f>
        <v>35423</v>
      </c>
      <c r="I24" s="103">
        <f t="shared" si="2"/>
        <v>53134.5</v>
      </c>
      <c r="J24" s="604">
        <f>(K24/4)*2</f>
        <v>17711.5</v>
      </c>
      <c r="K24" s="603">
        <f>20471+10+3+14939</f>
        <v>35423</v>
      </c>
      <c r="L24" s="14">
        <v>2</v>
      </c>
      <c r="M24" s="103">
        <f t="shared" si="3"/>
        <v>2</v>
      </c>
      <c r="N24" s="602"/>
      <c r="O24" s="14">
        <v>2</v>
      </c>
      <c r="P24" s="56" t="s">
        <v>265</v>
      </c>
    </row>
    <row r="25" spans="1:15" ht="15.75">
      <c r="A25" s="601">
        <v>11</v>
      </c>
      <c r="B25" s="1031" t="s">
        <v>363</v>
      </c>
      <c r="C25" s="1032"/>
      <c r="D25" s="600">
        <v>0</v>
      </c>
      <c r="E25" s="600">
        <v>0</v>
      </c>
      <c r="F25" s="600">
        <v>0</v>
      </c>
      <c r="G25" s="600">
        <v>0</v>
      </c>
      <c r="H25" s="14">
        <f>5520+201+4177</f>
        <v>9898</v>
      </c>
      <c r="I25" s="103">
        <f t="shared" si="2"/>
        <v>14847</v>
      </c>
      <c r="J25" s="152">
        <f>(K25/4)*2</f>
        <v>4949</v>
      </c>
      <c r="K25" s="14">
        <v>9898</v>
      </c>
      <c r="L25" s="14">
        <v>99</v>
      </c>
      <c r="M25" s="103">
        <f t="shared" si="3"/>
        <v>148.5</v>
      </c>
      <c r="N25" s="152">
        <f>(O25/4)*2</f>
        <v>49.5</v>
      </c>
      <c r="O25" s="14">
        <v>99</v>
      </c>
    </row>
    <row r="26" spans="1:16" ht="15.75">
      <c r="A26" s="601">
        <v>12</v>
      </c>
      <c r="B26" s="1031" t="s">
        <v>364</v>
      </c>
      <c r="C26" s="1032"/>
      <c r="D26" s="600">
        <v>0</v>
      </c>
      <c r="E26" s="600">
        <v>0</v>
      </c>
      <c r="F26" s="600">
        <v>0</v>
      </c>
      <c r="G26" s="600">
        <v>0</v>
      </c>
      <c r="H26" s="603">
        <f>4452+6+2354</f>
        <v>6812</v>
      </c>
      <c r="I26" s="103">
        <f t="shared" si="2"/>
        <v>10233</v>
      </c>
      <c r="J26" s="338">
        <v>3421</v>
      </c>
      <c r="K26" s="603">
        <v>6812</v>
      </c>
      <c r="L26" s="14">
        <v>29</v>
      </c>
      <c r="M26" s="103">
        <f t="shared" si="3"/>
        <v>43.5</v>
      </c>
      <c r="N26" s="152">
        <f>(O26/4)*2</f>
        <v>14.5</v>
      </c>
      <c r="O26" s="14">
        <v>29</v>
      </c>
      <c r="P26" s="56" t="s">
        <v>266</v>
      </c>
    </row>
    <row r="27" spans="1:20" ht="15.75">
      <c r="A27" s="601">
        <v>13</v>
      </c>
      <c r="B27" s="1031" t="s">
        <v>365</v>
      </c>
      <c r="C27" s="1032"/>
      <c r="D27" s="600">
        <v>0</v>
      </c>
      <c r="E27" s="600">
        <v>0</v>
      </c>
      <c r="F27" s="600">
        <v>0</v>
      </c>
      <c r="G27" s="600">
        <v>0</v>
      </c>
      <c r="H27" s="603">
        <f>3533+95+3894</f>
        <v>7522</v>
      </c>
      <c r="I27" s="103">
        <f t="shared" si="2"/>
        <v>51583</v>
      </c>
      <c r="J27" s="338">
        <v>42995</v>
      </c>
      <c r="K27" s="605">
        <f>4602+95+3891</f>
        <v>8588</v>
      </c>
      <c r="L27" s="14">
        <v>21</v>
      </c>
      <c r="M27" s="103">
        <f t="shared" si="3"/>
        <v>31.5</v>
      </c>
      <c r="N27" s="152">
        <f>(O27/4)*2</f>
        <v>10.5</v>
      </c>
      <c r="O27" s="14">
        <v>21</v>
      </c>
      <c r="P27" s="56" t="s">
        <v>267</v>
      </c>
      <c r="T27" s="606"/>
    </row>
    <row r="28" spans="1:20" ht="15.75">
      <c r="A28" s="601">
        <v>14</v>
      </c>
      <c r="B28" s="1031" t="s">
        <v>366</v>
      </c>
      <c r="C28" s="1032"/>
      <c r="D28" s="600">
        <v>0</v>
      </c>
      <c r="E28" s="600">
        <v>0</v>
      </c>
      <c r="F28" s="600">
        <v>0</v>
      </c>
      <c r="G28" s="600">
        <v>0</v>
      </c>
      <c r="H28" s="603">
        <f>835+1+580</f>
        <v>1416</v>
      </c>
      <c r="I28" s="103">
        <f t="shared" si="2"/>
        <v>1879</v>
      </c>
      <c r="J28" s="338">
        <v>489</v>
      </c>
      <c r="K28" s="603">
        <f>817+1+572</f>
        <v>1390</v>
      </c>
      <c r="L28" s="14">
        <v>9</v>
      </c>
      <c r="M28" s="103">
        <f t="shared" si="3"/>
        <v>13</v>
      </c>
      <c r="N28" s="152">
        <v>4</v>
      </c>
      <c r="O28" s="14">
        <v>9</v>
      </c>
      <c r="P28" s="56" t="s">
        <v>268</v>
      </c>
      <c r="T28" s="606"/>
    </row>
    <row r="29" spans="1:15" ht="15.75">
      <c r="A29" s="601">
        <v>15</v>
      </c>
      <c r="B29" s="1031" t="s">
        <v>367</v>
      </c>
      <c r="C29" s="1032"/>
      <c r="D29" s="600">
        <v>0</v>
      </c>
      <c r="E29" s="600">
        <v>0</v>
      </c>
      <c r="F29" s="600">
        <v>0</v>
      </c>
      <c r="G29" s="600">
        <v>0</v>
      </c>
      <c r="H29" s="14">
        <f>7764+229+5586</f>
        <v>13579</v>
      </c>
      <c r="I29" s="103">
        <f t="shared" si="2"/>
        <v>20368.5</v>
      </c>
      <c r="J29" s="152">
        <f>(K29/4)*2</f>
        <v>6789.5</v>
      </c>
      <c r="K29" s="14">
        <v>13579</v>
      </c>
      <c r="L29" s="14">
        <v>45</v>
      </c>
      <c r="M29" s="103">
        <f t="shared" si="3"/>
        <v>67.5</v>
      </c>
      <c r="N29" s="152">
        <f>(O29/4)*2</f>
        <v>22.5</v>
      </c>
      <c r="O29" s="14">
        <v>45</v>
      </c>
    </row>
    <row r="30" spans="1:15" ht="15.75">
      <c r="A30" s="601">
        <v>16</v>
      </c>
      <c r="B30" s="1031" t="s">
        <v>368</v>
      </c>
      <c r="C30" s="1032"/>
      <c r="D30" s="600">
        <v>0</v>
      </c>
      <c r="E30" s="600">
        <v>0</v>
      </c>
      <c r="F30" s="600">
        <v>0</v>
      </c>
      <c r="G30" s="600">
        <v>0</v>
      </c>
      <c r="H30" s="14">
        <f>30359+47+7+21949</f>
        <v>52362</v>
      </c>
      <c r="I30" s="103">
        <f t="shared" si="2"/>
        <v>78543</v>
      </c>
      <c r="J30" s="152">
        <f>(K30/4)*2</f>
        <v>26181</v>
      </c>
      <c r="K30" s="14">
        <v>52362</v>
      </c>
      <c r="L30" s="14">
        <v>27</v>
      </c>
      <c r="M30" s="103">
        <f t="shared" si="3"/>
        <v>40</v>
      </c>
      <c r="N30" s="152">
        <v>13</v>
      </c>
      <c r="O30" s="14">
        <v>27</v>
      </c>
    </row>
    <row r="31" spans="1:15" ht="15.75">
      <c r="A31" s="601">
        <v>17</v>
      </c>
      <c r="B31" s="1067" t="s">
        <v>369</v>
      </c>
      <c r="C31" s="1067"/>
      <c r="D31" s="600">
        <v>0</v>
      </c>
      <c r="E31" s="600">
        <v>0</v>
      </c>
      <c r="F31" s="600">
        <v>0</v>
      </c>
      <c r="G31" s="600">
        <v>0</v>
      </c>
      <c r="H31" s="14">
        <f>6815+11+5199</f>
        <v>12025</v>
      </c>
      <c r="I31" s="103">
        <f t="shared" si="2"/>
        <v>18036</v>
      </c>
      <c r="J31" s="152">
        <f>(K31/4)*2</f>
        <v>6012</v>
      </c>
      <c r="K31" s="14">
        <f>6814+11+5199</f>
        <v>12024</v>
      </c>
      <c r="L31" s="14">
        <v>20</v>
      </c>
      <c r="M31" s="103">
        <f t="shared" si="3"/>
        <v>30</v>
      </c>
      <c r="N31" s="152">
        <f>(O31/4)*2</f>
        <v>10</v>
      </c>
      <c r="O31" s="14">
        <v>20</v>
      </c>
    </row>
    <row r="32" spans="1:15" ht="15.75">
      <c r="A32" s="601">
        <v>18</v>
      </c>
      <c r="B32" s="1067" t="s">
        <v>370</v>
      </c>
      <c r="C32" s="1067"/>
      <c r="D32" s="600">
        <v>0</v>
      </c>
      <c r="E32" s="600">
        <v>0</v>
      </c>
      <c r="F32" s="600">
        <v>0</v>
      </c>
      <c r="G32" s="600">
        <v>0</v>
      </c>
      <c r="H32" s="14">
        <f>262+137</f>
        <v>399</v>
      </c>
      <c r="I32" s="103">
        <f t="shared" si="2"/>
        <v>582</v>
      </c>
      <c r="J32" s="604">
        <f>(K32/4)*2</f>
        <v>194</v>
      </c>
      <c r="K32" s="14">
        <f>251+137</f>
        <v>388</v>
      </c>
      <c r="L32" s="14">
        <v>22</v>
      </c>
      <c r="M32" s="103">
        <f t="shared" si="3"/>
        <v>0</v>
      </c>
      <c r="N32" s="9">
        <f>(O32/4)*2</f>
        <v>0</v>
      </c>
      <c r="O32" s="14"/>
    </row>
    <row r="33" spans="1:16" ht="15.75">
      <c r="A33" s="601">
        <v>19</v>
      </c>
      <c r="B33" s="1066" t="s">
        <v>371</v>
      </c>
      <c r="C33" s="1066"/>
      <c r="D33" s="600">
        <v>0</v>
      </c>
      <c r="E33" s="600">
        <v>0</v>
      </c>
      <c r="F33" s="600">
        <v>0</v>
      </c>
      <c r="G33" s="600">
        <v>0</v>
      </c>
      <c r="H33" s="603">
        <f>787+1+600</f>
        <v>1388</v>
      </c>
      <c r="I33" s="103">
        <f t="shared" si="2"/>
        <v>2082</v>
      </c>
      <c r="J33" s="152">
        <f>(K33/4)*2</f>
        <v>694</v>
      </c>
      <c r="K33" s="603">
        <f>787+1+600</f>
        <v>1388</v>
      </c>
      <c r="L33" s="14">
        <v>0</v>
      </c>
      <c r="M33" s="103">
        <f t="shared" si="3"/>
        <v>0</v>
      </c>
      <c r="N33" s="152">
        <f>(O33/4)*2</f>
        <v>0</v>
      </c>
      <c r="O33" s="14">
        <v>0</v>
      </c>
      <c r="P33" s="56" t="s">
        <v>269</v>
      </c>
    </row>
    <row r="34" spans="1:15" ht="15.75">
      <c r="A34" s="601">
        <v>20</v>
      </c>
      <c r="B34" s="1066" t="s">
        <v>372</v>
      </c>
      <c r="C34" s="1066"/>
      <c r="D34" s="600">
        <v>0</v>
      </c>
      <c r="E34" s="600">
        <v>0</v>
      </c>
      <c r="F34" s="600">
        <v>0</v>
      </c>
      <c r="G34" s="600">
        <v>0</v>
      </c>
      <c r="H34" s="14">
        <f>14632+45+5+16117</f>
        <v>30799</v>
      </c>
      <c r="I34" s="103">
        <f t="shared" si="2"/>
        <v>46198</v>
      </c>
      <c r="J34" s="152">
        <v>15399</v>
      </c>
      <c r="K34" s="14">
        <v>30799</v>
      </c>
      <c r="L34" s="14">
        <v>0</v>
      </c>
      <c r="M34" s="103">
        <f t="shared" si="3"/>
        <v>0</v>
      </c>
      <c r="N34" s="152">
        <f>(O34/4)*2</f>
        <v>0</v>
      </c>
      <c r="O34" s="14">
        <v>0</v>
      </c>
    </row>
    <row r="35" spans="1:15" ht="15.75">
      <c r="A35" s="601">
        <v>21</v>
      </c>
      <c r="B35" s="1066" t="s">
        <v>373</v>
      </c>
      <c r="C35" s="1066"/>
      <c r="D35" s="600">
        <v>0</v>
      </c>
      <c r="E35" s="600">
        <v>0</v>
      </c>
      <c r="F35" s="600">
        <v>0</v>
      </c>
      <c r="G35" s="600">
        <v>0</v>
      </c>
      <c r="H35" s="14">
        <f>13240+41+8217</f>
        <v>21498</v>
      </c>
      <c r="I35" s="103">
        <f t="shared" si="2"/>
        <v>32247</v>
      </c>
      <c r="J35" s="152">
        <f>(K35/4)*2</f>
        <v>10749</v>
      </c>
      <c r="K35" s="14">
        <v>21498</v>
      </c>
      <c r="L35" s="14">
        <v>74</v>
      </c>
      <c r="M35" s="103">
        <f t="shared" si="3"/>
        <v>111</v>
      </c>
      <c r="N35" s="152">
        <f>(O35/4)*2</f>
        <v>37</v>
      </c>
      <c r="O35" s="14">
        <v>74</v>
      </c>
    </row>
    <row r="36" spans="1:15" ht="15.75">
      <c r="A36" s="601">
        <v>22</v>
      </c>
      <c r="B36" s="1066" t="s">
        <v>374</v>
      </c>
      <c r="C36" s="1066"/>
      <c r="D36" s="600">
        <v>0</v>
      </c>
      <c r="E36" s="600">
        <v>0</v>
      </c>
      <c r="F36" s="600">
        <v>0</v>
      </c>
      <c r="G36" s="600">
        <v>0</v>
      </c>
      <c r="H36" s="14">
        <f>1116+1040</f>
        <v>2156</v>
      </c>
      <c r="I36" s="103">
        <f t="shared" si="2"/>
        <v>3234</v>
      </c>
      <c r="J36" s="152">
        <f>(K36/4)*2</f>
        <v>1078</v>
      </c>
      <c r="K36" s="14">
        <v>2156</v>
      </c>
      <c r="L36" s="14">
        <v>0</v>
      </c>
      <c r="M36" s="103">
        <f t="shared" si="3"/>
        <v>0</v>
      </c>
      <c r="N36" s="602"/>
      <c r="O36" s="14">
        <v>0</v>
      </c>
    </row>
    <row r="37" spans="1:15" ht="15.75">
      <c r="A37" s="601">
        <v>23</v>
      </c>
      <c r="B37" s="1066" t="s">
        <v>375</v>
      </c>
      <c r="C37" s="1066"/>
      <c r="D37" s="600">
        <v>0</v>
      </c>
      <c r="E37" s="600">
        <v>0</v>
      </c>
      <c r="F37" s="600">
        <v>0</v>
      </c>
      <c r="G37" s="600">
        <v>0</v>
      </c>
      <c r="H37" s="14">
        <f>2429+9+1123</f>
        <v>3561</v>
      </c>
      <c r="I37" s="103">
        <f t="shared" si="2"/>
        <v>5261</v>
      </c>
      <c r="J37" s="602">
        <v>1700</v>
      </c>
      <c r="K37" s="14">
        <v>3561</v>
      </c>
      <c r="L37" s="14">
        <v>0</v>
      </c>
      <c r="M37" s="103">
        <f t="shared" si="3"/>
        <v>0</v>
      </c>
      <c r="N37" s="152">
        <f>(O37/4)*2</f>
        <v>0</v>
      </c>
      <c r="O37" s="14">
        <v>0</v>
      </c>
    </row>
    <row r="38" spans="1:15" ht="15.75">
      <c r="A38" s="601">
        <v>24</v>
      </c>
      <c r="B38" s="1066" t="s">
        <v>376</v>
      </c>
      <c r="C38" s="1066"/>
      <c r="D38" s="600">
        <v>0</v>
      </c>
      <c r="E38" s="600">
        <v>0</v>
      </c>
      <c r="F38" s="600">
        <v>0</v>
      </c>
      <c r="G38" s="600">
        <v>0</v>
      </c>
      <c r="H38" s="14">
        <f>12010+996+27+8483</f>
        <v>21516</v>
      </c>
      <c r="I38" s="103">
        <f t="shared" si="2"/>
        <v>32082</v>
      </c>
      <c r="J38" s="152">
        <f>(K38/4)*2</f>
        <v>10694</v>
      </c>
      <c r="K38" s="14">
        <f>11928+996+27+8437</f>
        <v>21388</v>
      </c>
      <c r="L38" s="14">
        <v>64</v>
      </c>
      <c r="M38" s="103">
        <f t="shared" si="3"/>
        <v>96</v>
      </c>
      <c r="N38" s="152">
        <f>(O38/4)*2</f>
        <v>32</v>
      </c>
      <c r="O38" s="14">
        <v>64</v>
      </c>
    </row>
    <row r="39" spans="1:16" ht="15.75">
      <c r="A39" s="601">
        <v>25</v>
      </c>
      <c r="B39" s="1066" t="s">
        <v>377</v>
      </c>
      <c r="C39" s="1066"/>
      <c r="D39" s="600">
        <v>0</v>
      </c>
      <c r="E39" s="600">
        <v>0</v>
      </c>
      <c r="F39" s="600">
        <v>0</v>
      </c>
      <c r="G39" s="600">
        <v>0</v>
      </c>
      <c r="H39" s="14">
        <f>4836+323+1+2279</f>
        <v>7439</v>
      </c>
      <c r="I39" s="607">
        <f t="shared" si="2"/>
        <v>11154</v>
      </c>
      <c r="J39" s="152">
        <f>(K39/4)*2</f>
        <v>3718</v>
      </c>
      <c r="K39" s="14">
        <f>4833+323+1+2279</f>
        <v>7436</v>
      </c>
      <c r="L39" s="14">
        <v>4</v>
      </c>
      <c r="M39" s="103">
        <f t="shared" si="3"/>
        <v>6</v>
      </c>
      <c r="N39" s="152">
        <f>(O39/4)*2</f>
        <v>2</v>
      </c>
      <c r="O39" s="14">
        <v>4</v>
      </c>
      <c r="P39" s="56" t="s">
        <v>270</v>
      </c>
    </row>
    <row r="40" spans="1:15" ht="15.75">
      <c r="A40" s="601">
        <v>26</v>
      </c>
      <c r="B40" s="1066" t="s">
        <v>378</v>
      </c>
      <c r="C40" s="1066"/>
      <c r="D40" s="600">
        <v>0</v>
      </c>
      <c r="E40" s="600">
        <v>0</v>
      </c>
      <c r="F40" s="600">
        <v>0</v>
      </c>
      <c r="G40" s="600">
        <v>0</v>
      </c>
      <c r="H40" s="14">
        <f>9680+39+5964</f>
        <v>15683</v>
      </c>
      <c r="I40" s="103">
        <f t="shared" si="2"/>
        <v>20910</v>
      </c>
      <c r="J40" s="602">
        <v>5227</v>
      </c>
      <c r="K40" s="14">
        <v>15683</v>
      </c>
      <c r="L40" s="14">
        <v>0</v>
      </c>
      <c r="M40" s="103">
        <f t="shared" si="3"/>
        <v>0</v>
      </c>
      <c r="N40" s="152">
        <f>(O40/4)*2</f>
        <v>0</v>
      </c>
      <c r="O40" s="14">
        <v>0</v>
      </c>
    </row>
    <row r="41" spans="1:15" ht="15.75">
      <c r="A41" s="601">
        <v>27</v>
      </c>
      <c r="B41" s="1066" t="s">
        <v>379</v>
      </c>
      <c r="C41" s="1066"/>
      <c r="D41" s="600">
        <v>0</v>
      </c>
      <c r="E41" s="600">
        <v>0</v>
      </c>
      <c r="F41" s="600">
        <v>0</v>
      </c>
      <c r="G41" s="600">
        <v>0</v>
      </c>
      <c r="H41" s="14">
        <f>5450+37+4459</f>
        <v>9946</v>
      </c>
      <c r="I41" s="103">
        <f t="shared" si="2"/>
        <v>14919</v>
      </c>
      <c r="J41" s="152">
        <f>(K41/4)*2</f>
        <v>4973</v>
      </c>
      <c r="K41" s="14">
        <v>9946</v>
      </c>
      <c r="L41" s="14">
        <v>8</v>
      </c>
      <c r="M41" s="103">
        <f t="shared" si="3"/>
        <v>12</v>
      </c>
      <c r="N41" s="602">
        <v>9</v>
      </c>
      <c r="O41" s="14">
        <v>3</v>
      </c>
    </row>
    <row r="42" spans="1:16" ht="15.75">
      <c r="A42" s="601">
        <v>28</v>
      </c>
      <c r="B42" s="1066" t="s">
        <v>380</v>
      </c>
      <c r="C42" s="1066"/>
      <c r="D42" s="600">
        <v>0</v>
      </c>
      <c r="E42" s="600">
        <v>0</v>
      </c>
      <c r="F42" s="600">
        <v>0</v>
      </c>
      <c r="G42" s="600">
        <v>0</v>
      </c>
      <c r="H42" s="14">
        <f>2492+12+1532</f>
        <v>4036</v>
      </c>
      <c r="I42" s="103">
        <f t="shared" si="2"/>
        <v>6054</v>
      </c>
      <c r="J42" s="152">
        <f>(K42/4)*2</f>
        <v>2018</v>
      </c>
      <c r="K42" s="14">
        <v>4036</v>
      </c>
      <c r="L42" s="14">
        <v>5</v>
      </c>
      <c r="M42" s="103">
        <f t="shared" si="3"/>
        <v>7.5</v>
      </c>
      <c r="N42" s="152">
        <f>(O42/4)*2</f>
        <v>2.5</v>
      </c>
      <c r="O42" s="14">
        <v>5</v>
      </c>
      <c r="P42" s="90"/>
    </row>
    <row r="43" spans="1:16" ht="15.75">
      <c r="A43" s="601">
        <v>29</v>
      </c>
      <c r="B43" s="1066" t="s">
        <v>381</v>
      </c>
      <c r="C43" s="1066"/>
      <c r="D43" s="600">
        <v>0</v>
      </c>
      <c r="E43" s="600">
        <v>0</v>
      </c>
      <c r="F43" s="600">
        <v>0</v>
      </c>
      <c r="G43" s="600">
        <v>0</v>
      </c>
      <c r="H43" s="420">
        <f>2419+1422</f>
        <v>3841</v>
      </c>
      <c r="I43" s="103">
        <f t="shared" si="2"/>
        <v>5788</v>
      </c>
      <c r="J43" s="602">
        <v>1921</v>
      </c>
      <c r="K43" s="605">
        <f>2419+26+1422</f>
        <v>3867</v>
      </c>
      <c r="L43" s="14">
        <v>0</v>
      </c>
      <c r="M43" s="103">
        <f t="shared" si="3"/>
        <v>0</v>
      </c>
      <c r="N43" s="152">
        <f>(O43/4)*2</f>
        <v>0</v>
      </c>
      <c r="O43" s="14">
        <v>0</v>
      </c>
      <c r="P43" s="56" t="s">
        <v>271</v>
      </c>
    </row>
    <row r="44" spans="1:15" ht="15.75">
      <c r="A44" s="601">
        <v>30</v>
      </c>
      <c r="B44" s="1066" t="s">
        <v>382</v>
      </c>
      <c r="C44" s="1066"/>
      <c r="D44" s="600">
        <v>0</v>
      </c>
      <c r="E44" s="600">
        <v>0</v>
      </c>
      <c r="F44" s="600">
        <v>0</v>
      </c>
      <c r="G44" s="600">
        <v>0</v>
      </c>
      <c r="H44" s="14" t="s">
        <v>527</v>
      </c>
      <c r="I44" s="103" t="s">
        <v>527</v>
      </c>
      <c r="J44" s="152" t="s">
        <v>527</v>
      </c>
      <c r="K44" s="14" t="s">
        <v>527</v>
      </c>
      <c r="L44" s="14" t="s">
        <v>527</v>
      </c>
      <c r="M44" s="103" t="s">
        <v>527</v>
      </c>
      <c r="N44" s="152" t="s">
        <v>527</v>
      </c>
      <c r="O44" s="14" t="s">
        <v>527</v>
      </c>
    </row>
    <row r="45" spans="1:15" ht="15.75">
      <c r="A45" s="601">
        <v>31</v>
      </c>
      <c r="B45" s="1066" t="s">
        <v>383</v>
      </c>
      <c r="C45" s="1066"/>
      <c r="D45" s="600">
        <v>0</v>
      </c>
      <c r="E45" s="600">
        <v>0</v>
      </c>
      <c r="F45" s="600">
        <v>0</v>
      </c>
      <c r="G45" s="600">
        <v>0</v>
      </c>
      <c r="H45" s="14">
        <f>6295+25+3+5151</f>
        <v>11474</v>
      </c>
      <c r="I45" s="103">
        <f aca="true" t="shared" si="4" ref="I45:I52">J45+K45</f>
        <v>17211</v>
      </c>
      <c r="J45" s="152">
        <f>(K45/4)*2</f>
        <v>5737</v>
      </c>
      <c r="K45" s="14">
        <v>11474</v>
      </c>
      <c r="L45" s="14">
        <v>6</v>
      </c>
      <c r="M45" s="103">
        <f aca="true" t="shared" si="5" ref="M45:M52">N45+O45</f>
        <v>9</v>
      </c>
      <c r="N45" s="152">
        <f>(O45/4)*2</f>
        <v>3</v>
      </c>
      <c r="O45" s="14">
        <v>6</v>
      </c>
    </row>
    <row r="46" spans="1:15" ht="15.75">
      <c r="A46" s="601">
        <v>32</v>
      </c>
      <c r="B46" s="1066" t="s">
        <v>384</v>
      </c>
      <c r="C46" s="1066"/>
      <c r="D46" s="600">
        <v>0</v>
      </c>
      <c r="E46" s="600">
        <v>0</v>
      </c>
      <c r="F46" s="600">
        <v>0</v>
      </c>
      <c r="G46" s="600">
        <v>0</v>
      </c>
      <c r="H46" s="14">
        <f>19049+2664+17828</f>
        <v>39541</v>
      </c>
      <c r="I46" s="103">
        <f t="shared" si="4"/>
        <v>59311.5</v>
      </c>
      <c r="J46" s="152">
        <f>(K46/4)*2</f>
        <v>19770.5</v>
      </c>
      <c r="K46" s="14">
        <v>39541</v>
      </c>
      <c r="L46" s="14">
        <v>22</v>
      </c>
      <c r="M46" s="103">
        <f t="shared" si="5"/>
        <v>33</v>
      </c>
      <c r="N46" s="152">
        <f>(O46/4)*2</f>
        <v>11</v>
      </c>
      <c r="O46" s="14">
        <v>22</v>
      </c>
    </row>
    <row r="47" spans="1:15" ht="15.75">
      <c r="A47" s="601">
        <v>33</v>
      </c>
      <c r="B47" s="1066" t="s">
        <v>385</v>
      </c>
      <c r="C47" s="1066"/>
      <c r="D47" s="600">
        <v>0</v>
      </c>
      <c r="E47" s="600">
        <v>0</v>
      </c>
      <c r="F47" s="600">
        <v>0</v>
      </c>
      <c r="G47" s="600">
        <v>0</v>
      </c>
      <c r="H47" s="14">
        <f>3600+2+3+6153</f>
        <v>9758</v>
      </c>
      <c r="I47" s="103">
        <f t="shared" si="4"/>
        <v>14632</v>
      </c>
      <c r="J47" s="152">
        <v>4877</v>
      </c>
      <c r="K47" s="14">
        <f>3600+2+6153</f>
        <v>9755</v>
      </c>
      <c r="L47" s="14">
        <v>15</v>
      </c>
      <c r="M47" s="103">
        <f t="shared" si="5"/>
        <v>22</v>
      </c>
      <c r="N47" s="152">
        <v>7</v>
      </c>
      <c r="O47" s="14">
        <v>15</v>
      </c>
    </row>
    <row r="48" spans="1:15" ht="15.75">
      <c r="A48" s="601">
        <v>34</v>
      </c>
      <c r="B48" s="1066" t="s">
        <v>386</v>
      </c>
      <c r="C48" s="1066"/>
      <c r="D48" s="600">
        <v>0</v>
      </c>
      <c r="E48" s="600">
        <v>0</v>
      </c>
      <c r="F48" s="600">
        <v>0</v>
      </c>
      <c r="G48" s="600">
        <v>0</v>
      </c>
      <c r="H48" s="438"/>
      <c r="I48" s="608">
        <f t="shared" si="4"/>
        <v>0</v>
      </c>
      <c r="J48" s="284">
        <f>(K48/4)*2</f>
        <v>0</v>
      </c>
      <c r="K48" s="438"/>
      <c r="L48" s="438"/>
      <c r="M48" s="608">
        <f t="shared" si="5"/>
        <v>0</v>
      </c>
      <c r="N48" s="284">
        <f>(O48/4)*2</f>
        <v>0</v>
      </c>
      <c r="O48" s="438"/>
    </row>
    <row r="49" spans="1:15" ht="15.75">
      <c r="A49" s="601">
        <v>35</v>
      </c>
      <c r="B49" s="1066" t="s">
        <v>387</v>
      </c>
      <c r="C49" s="1066"/>
      <c r="D49" s="600">
        <v>0</v>
      </c>
      <c r="E49" s="600">
        <v>0</v>
      </c>
      <c r="F49" s="600">
        <v>0</v>
      </c>
      <c r="G49" s="600">
        <v>0</v>
      </c>
      <c r="H49" s="14">
        <f>12624+313+1233+10089</f>
        <v>24259</v>
      </c>
      <c r="I49" s="103">
        <f t="shared" si="4"/>
        <v>36385</v>
      </c>
      <c r="J49" s="152">
        <v>12128</v>
      </c>
      <c r="K49" s="14">
        <f>12622+313+1233+10089</f>
        <v>24257</v>
      </c>
      <c r="L49" s="14">
        <v>44</v>
      </c>
      <c r="M49" s="103">
        <f t="shared" si="5"/>
        <v>66</v>
      </c>
      <c r="N49" s="152">
        <f>(O49/4)*2</f>
        <v>22</v>
      </c>
      <c r="O49" s="14">
        <v>44</v>
      </c>
    </row>
    <row r="50" spans="1:15" ht="15.75">
      <c r="A50" s="601">
        <v>36</v>
      </c>
      <c r="B50" s="543" t="s">
        <v>388</v>
      </c>
      <c r="C50" s="543"/>
      <c r="D50" s="600">
        <v>0</v>
      </c>
      <c r="E50" s="600">
        <v>0</v>
      </c>
      <c r="F50" s="600">
        <v>0</v>
      </c>
      <c r="G50" s="600">
        <v>0</v>
      </c>
      <c r="H50" s="14">
        <f>859+16+1+854</f>
        <v>1730</v>
      </c>
      <c r="I50" s="103">
        <f t="shared" si="4"/>
        <v>2587.5</v>
      </c>
      <c r="J50" s="152">
        <f>(K50/4)*2</f>
        <v>862.5</v>
      </c>
      <c r="K50" s="14">
        <f>854+16+1+854</f>
        <v>1725</v>
      </c>
      <c r="L50" s="14">
        <v>3</v>
      </c>
      <c r="M50" s="103">
        <f t="shared" si="5"/>
        <v>4.5</v>
      </c>
      <c r="N50" s="152">
        <f>(O50/4)*2</f>
        <v>1.5</v>
      </c>
      <c r="O50" s="14">
        <v>3</v>
      </c>
    </row>
    <row r="51" spans="1:15" ht="15.75">
      <c r="A51" s="601">
        <v>37</v>
      </c>
      <c r="B51" s="1068" t="s">
        <v>389</v>
      </c>
      <c r="C51" s="1068"/>
      <c r="D51" s="600">
        <v>0</v>
      </c>
      <c r="E51" s="600">
        <v>0</v>
      </c>
      <c r="F51" s="600">
        <v>0</v>
      </c>
      <c r="G51" s="600">
        <v>0</v>
      </c>
      <c r="H51" s="14">
        <f>1466+90+1115</f>
        <v>2671</v>
      </c>
      <c r="I51" s="103">
        <f t="shared" si="4"/>
        <v>4006.5</v>
      </c>
      <c r="J51" s="152">
        <f>(K51/4)*2</f>
        <v>1335.5</v>
      </c>
      <c r="K51" s="14">
        <v>2671</v>
      </c>
      <c r="L51" s="14">
        <v>35</v>
      </c>
      <c r="M51" s="103">
        <f t="shared" si="5"/>
        <v>35</v>
      </c>
      <c r="N51" s="602">
        <v>0</v>
      </c>
      <c r="O51" s="14">
        <v>35</v>
      </c>
    </row>
    <row r="52" spans="1:16" ht="15.75">
      <c r="A52" s="601">
        <v>38</v>
      </c>
      <c r="B52" s="1068" t="s">
        <v>390</v>
      </c>
      <c r="C52" s="1068"/>
      <c r="D52" s="600">
        <v>0</v>
      </c>
      <c r="E52" s="600">
        <v>0</v>
      </c>
      <c r="F52" s="600">
        <v>0</v>
      </c>
      <c r="G52" s="600">
        <v>0</v>
      </c>
      <c r="H52" s="603">
        <f>10218+70+12883</f>
        <v>23171</v>
      </c>
      <c r="I52" s="103">
        <f t="shared" si="4"/>
        <v>34686</v>
      </c>
      <c r="J52" s="338">
        <v>11515</v>
      </c>
      <c r="K52" s="603">
        <f>10218+70+12883</f>
        <v>23171</v>
      </c>
      <c r="L52" s="14">
        <v>10</v>
      </c>
      <c r="M52" s="103">
        <f t="shared" si="5"/>
        <v>15</v>
      </c>
      <c r="N52" s="152">
        <f>(O52/4)*2</f>
        <v>5</v>
      </c>
      <c r="O52" s="14">
        <v>10</v>
      </c>
      <c r="P52" s="56" t="s">
        <v>272</v>
      </c>
    </row>
    <row r="53" spans="1:15" ht="15.75">
      <c r="A53" s="601">
        <v>39</v>
      </c>
      <c r="B53" s="543" t="s">
        <v>391</v>
      </c>
      <c r="C53" s="543"/>
      <c r="D53" s="600">
        <v>0</v>
      </c>
      <c r="E53" s="600">
        <v>0</v>
      </c>
      <c r="F53" s="600">
        <v>0</v>
      </c>
      <c r="G53" s="600">
        <v>0</v>
      </c>
      <c r="H53" s="14" t="s">
        <v>527</v>
      </c>
      <c r="I53" s="103" t="s">
        <v>527</v>
      </c>
      <c r="J53" s="152" t="s">
        <v>527</v>
      </c>
      <c r="K53" s="14" t="s">
        <v>527</v>
      </c>
      <c r="L53" s="14" t="s">
        <v>527</v>
      </c>
      <c r="M53" s="103" t="s">
        <v>527</v>
      </c>
      <c r="N53" s="152" t="s">
        <v>527</v>
      </c>
      <c r="O53" s="14" t="s">
        <v>527</v>
      </c>
    </row>
    <row r="54" spans="1:15" ht="15.75">
      <c r="A54" s="601">
        <v>40</v>
      </c>
      <c r="B54" s="543" t="s">
        <v>392</v>
      </c>
      <c r="C54" s="543"/>
      <c r="D54" s="600">
        <v>0</v>
      </c>
      <c r="E54" s="600">
        <v>0</v>
      </c>
      <c r="F54" s="600">
        <v>0</v>
      </c>
      <c r="G54" s="600">
        <v>0</v>
      </c>
      <c r="H54" s="14">
        <f>6007+40+3322</f>
        <v>9369</v>
      </c>
      <c r="I54" s="103">
        <f aca="true" t="shared" si="6" ref="I54:I72">J54+K54</f>
        <v>14040</v>
      </c>
      <c r="J54" s="152">
        <f>(K54/4)*2</f>
        <v>4680</v>
      </c>
      <c r="K54" s="14">
        <f>5998+40+3322</f>
        <v>9360</v>
      </c>
      <c r="L54" s="14">
        <v>1</v>
      </c>
      <c r="M54" s="103">
        <f aca="true" t="shared" si="7" ref="M54:M67">N54+O54</f>
        <v>1.5</v>
      </c>
      <c r="N54" s="152">
        <f aca="true" t="shared" si="8" ref="N54:N61">(O54/4)*2</f>
        <v>0.5</v>
      </c>
      <c r="O54" s="14">
        <v>1</v>
      </c>
    </row>
    <row r="55" spans="1:16" s="609" customFormat="1" ht="15.75">
      <c r="A55" s="601">
        <v>41</v>
      </c>
      <c r="B55" s="543" t="s">
        <v>393</v>
      </c>
      <c r="C55" s="543"/>
      <c r="D55" s="600">
        <v>0</v>
      </c>
      <c r="E55" s="600">
        <v>0</v>
      </c>
      <c r="F55" s="600">
        <v>0</v>
      </c>
      <c r="G55" s="600">
        <v>0</v>
      </c>
      <c r="H55" s="9">
        <f>5480+27+3882</f>
        <v>9389</v>
      </c>
      <c r="I55" s="103">
        <f t="shared" si="6"/>
        <v>14039</v>
      </c>
      <c r="J55" s="602">
        <v>4650</v>
      </c>
      <c r="K55" s="9">
        <v>9389</v>
      </c>
      <c r="L55" s="9">
        <v>0</v>
      </c>
      <c r="M55" s="103">
        <f t="shared" si="7"/>
        <v>0</v>
      </c>
      <c r="N55" s="152">
        <f t="shared" si="8"/>
        <v>0</v>
      </c>
      <c r="O55" s="9">
        <v>0</v>
      </c>
      <c r="P55" s="56"/>
    </row>
    <row r="56" spans="1:15" ht="15.75">
      <c r="A56" s="601">
        <v>42</v>
      </c>
      <c r="B56" s="543" t="s">
        <v>394</v>
      </c>
      <c r="C56" s="543"/>
      <c r="D56" s="600">
        <v>0</v>
      </c>
      <c r="E56" s="600">
        <v>0</v>
      </c>
      <c r="F56" s="600">
        <v>0</v>
      </c>
      <c r="G56" s="600">
        <v>0</v>
      </c>
      <c r="H56" s="14">
        <f>2203+1+1430</f>
        <v>3634</v>
      </c>
      <c r="I56" s="103">
        <f t="shared" si="6"/>
        <v>5451</v>
      </c>
      <c r="J56" s="152">
        <f aca="true" t="shared" si="9" ref="J56:J61">(K56/4)*2</f>
        <v>1817</v>
      </c>
      <c r="K56" s="14">
        <v>3634</v>
      </c>
      <c r="L56" s="14">
        <v>0</v>
      </c>
      <c r="M56" s="103">
        <f t="shared" si="7"/>
        <v>0</v>
      </c>
      <c r="N56" s="152">
        <f t="shared" si="8"/>
        <v>0</v>
      </c>
      <c r="O56" s="14">
        <v>0</v>
      </c>
    </row>
    <row r="57" spans="1:15" ht="15.75">
      <c r="A57" s="601">
        <v>43</v>
      </c>
      <c r="B57" s="1068" t="s">
        <v>395</v>
      </c>
      <c r="C57" s="1068"/>
      <c r="D57" s="600">
        <v>0</v>
      </c>
      <c r="E57" s="600">
        <v>0</v>
      </c>
      <c r="F57" s="600">
        <v>0</v>
      </c>
      <c r="G57" s="600">
        <v>0</v>
      </c>
      <c r="H57" s="14">
        <f>2507+17+36+2466</f>
        <v>5026</v>
      </c>
      <c r="I57" s="103">
        <f t="shared" si="6"/>
        <v>7539</v>
      </c>
      <c r="J57" s="152">
        <f t="shared" si="9"/>
        <v>2513</v>
      </c>
      <c r="K57" s="14">
        <v>5026</v>
      </c>
      <c r="L57" s="14">
        <v>0</v>
      </c>
      <c r="M57" s="103">
        <f t="shared" si="7"/>
        <v>0</v>
      </c>
      <c r="N57" s="152">
        <f t="shared" si="8"/>
        <v>0</v>
      </c>
      <c r="O57" s="14">
        <v>0</v>
      </c>
    </row>
    <row r="58" spans="1:15" ht="15.75">
      <c r="A58" s="601">
        <v>44</v>
      </c>
      <c r="B58" s="1068" t="s">
        <v>396</v>
      </c>
      <c r="C58" s="1068"/>
      <c r="D58" s="600">
        <v>0</v>
      </c>
      <c r="E58" s="600">
        <v>0</v>
      </c>
      <c r="F58" s="600">
        <v>0</v>
      </c>
      <c r="G58" s="600">
        <v>0</v>
      </c>
      <c r="H58" s="14">
        <f>2400+1738</f>
        <v>4138</v>
      </c>
      <c r="I58" s="103">
        <f t="shared" si="6"/>
        <v>6207</v>
      </c>
      <c r="J58" s="152">
        <f t="shared" si="9"/>
        <v>2069</v>
      </c>
      <c r="K58" s="14">
        <f>2400+1738</f>
        <v>4138</v>
      </c>
      <c r="L58" s="14">
        <v>292</v>
      </c>
      <c r="M58" s="103">
        <f t="shared" si="7"/>
        <v>438</v>
      </c>
      <c r="N58" s="152">
        <f t="shared" si="8"/>
        <v>146</v>
      </c>
      <c r="O58" s="14">
        <v>292</v>
      </c>
    </row>
    <row r="59" spans="1:15" ht="15.75">
      <c r="A59" s="601">
        <v>45</v>
      </c>
      <c r="B59" s="546" t="s">
        <v>397</v>
      </c>
      <c r="C59" s="545"/>
      <c r="D59" s="600">
        <v>0</v>
      </c>
      <c r="E59" s="600">
        <v>0</v>
      </c>
      <c r="F59" s="600">
        <v>0</v>
      </c>
      <c r="G59" s="600">
        <v>0</v>
      </c>
      <c r="H59" s="439">
        <f>5105+6+11+3519</f>
        <v>8641</v>
      </c>
      <c r="I59" s="103">
        <f t="shared" si="6"/>
        <v>12961.5</v>
      </c>
      <c r="J59" s="152">
        <f t="shared" si="9"/>
        <v>4320.5</v>
      </c>
      <c r="K59" s="439">
        <f>5105+6+11+3519</f>
        <v>8641</v>
      </c>
      <c r="L59" s="14">
        <v>5</v>
      </c>
      <c r="M59" s="103">
        <f t="shared" si="7"/>
        <v>7.5</v>
      </c>
      <c r="N59" s="152">
        <f t="shared" si="8"/>
        <v>2.5</v>
      </c>
      <c r="O59" s="14">
        <v>5</v>
      </c>
    </row>
    <row r="60" spans="1:16" ht="15.75">
      <c r="A60" s="601">
        <v>46</v>
      </c>
      <c r="B60" s="546" t="s">
        <v>398</v>
      </c>
      <c r="C60" s="546"/>
      <c r="D60" s="600">
        <v>0</v>
      </c>
      <c r="E60" s="600">
        <v>0</v>
      </c>
      <c r="F60" s="600">
        <v>0</v>
      </c>
      <c r="G60" s="600">
        <v>0</v>
      </c>
      <c r="H60" s="603">
        <f>2569+81+1385</f>
        <v>4035</v>
      </c>
      <c r="I60" s="103">
        <f t="shared" si="6"/>
        <v>6052.5</v>
      </c>
      <c r="J60" s="604">
        <f t="shared" si="9"/>
        <v>2017.5</v>
      </c>
      <c r="K60" s="603">
        <f>2569+81+1385</f>
        <v>4035</v>
      </c>
      <c r="L60" s="14">
        <v>92</v>
      </c>
      <c r="M60" s="103">
        <f t="shared" si="7"/>
        <v>138</v>
      </c>
      <c r="N60" s="604">
        <f t="shared" si="8"/>
        <v>46</v>
      </c>
      <c r="O60" s="14">
        <v>92</v>
      </c>
      <c r="P60" s="56" t="s">
        <v>273</v>
      </c>
    </row>
    <row r="61" spans="1:15" ht="15.75">
      <c r="A61" s="601">
        <v>47</v>
      </c>
      <c r="B61" s="546" t="s">
        <v>399</v>
      </c>
      <c r="C61" s="546"/>
      <c r="D61" s="600">
        <v>0</v>
      </c>
      <c r="E61" s="600">
        <v>0</v>
      </c>
      <c r="F61" s="600">
        <v>0</v>
      </c>
      <c r="G61" s="600">
        <v>0</v>
      </c>
      <c r="H61" s="14">
        <f>3490+1+2163</f>
        <v>5654</v>
      </c>
      <c r="I61" s="103">
        <f t="shared" si="6"/>
        <v>8481</v>
      </c>
      <c r="J61" s="152">
        <f t="shared" si="9"/>
        <v>2827</v>
      </c>
      <c r="K61" s="14">
        <v>5654</v>
      </c>
      <c r="L61" s="14">
        <v>10</v>
      </c>
      <c r="M61" s="103">
        <f t="shared" si="7"/>
        <v>15</v>
      </c>
      <c r="N61" s="152">
        <f t="shared" si="8"/>
        <v>5</v>
      </c>
      <c r="O61" s="14">
        <v>10</v>
      </c>
    </row>
    <row r="62" spans="1:16" ht="15.75">
      <c r="A62" s="601">
        <v>48</v>
      </c>
      <c r="B62" s="546" t="s">
        <v>400</v>
      </c>
      <c r="C62" s="546"/>
      <c r="D62" s="600">
        <v>0</v>
      </c>
      <c r="E62" s="600">
        <v>0</v>
      </c>
      <c r="F62" s="600">
        <v>0</v>
      </c>
      <c r="G62" s="600">
        <v>0</v>
      </c>
      <c r="H62" s="603">
        <f>1044+1+885</f>
        <v>1930</v>
      </c>
      <c r="I62" s="103">
        <f t="shared" si="6"/>
        <v>2896</v>
      </c>
      <c r="J62" s="338">
        <v>966</v>
      </c>
      <c r="K62" s="603">
        <v>1930</v>
      </c>
      <c r="L62" s="14">
        <v>2</v>
      </c>
      <c r="M62" s="103">
        <f t="shared" si="7"/>
        <v>4</v>
      </c>
      <c r="N62" s="602">
        <v>2</v>
      </c>
      <c r="O62" s="14">
        <v>2</v>
      </c>
      <c r="P62" s="56" t="s">
        <v>274</v>
      </c>
    </row>
    <row r="63" spans="1:15" ht="15.75">
      <c r="A63" s="601">
        <v>49</v>
      </c>
      <c r="B63" s="546" t="s">
        <v>401</v>
      </c>
      <c r="C63" s="546"/>
      <c r="D63" s="600">
        <v>0</v>
      </c>
      <c r="E63" s="600">
        <v>0</v>
      </c>
      <c r="F63" s="600">
        <v>0</v>
      </c>
      <c r="G63" s="600">
        <v>0</v>
      </c>
      <c r="H63" s="14">
        <f>4564+16+1+2643</f>
        <v>7224</v>
      </c>
      <c r="I63" s="103">
        <f t="shared" si="6"/>
        <v>10836</v>
      </c>
      <c r="J63" s="152">
        <f>(K63/4)*2</f>
        <v>3612</v>
      </c>
      <c r="K63" s="14">
        <v>7224</v>
      </c>
      <c r="L63" s="14">
        <v>5</v>
      </c>
      <c r="M63" s="103">
        <f t="shared" si="7"/>
        <v>7</v>
      </c>
      <c r="N63" s="152">
        <v>2</v>
      </c>
      <c r="O63" s="14">
        <v>5</v>
      </c>
    </row>
    <row r="64" spans="1:15" ht="15.75">
      <c r="A64" s="601">
        <v>50</v>
      </c>
      <c r="B64" s="546" t="s">
        <v>402</v>
      </c>
      <c r="C64" s="546"/>
      <c r="D64" s="600">
        <v>0</v>
      </c>
      <c r="E64" s="600">
        <v>0</v>
      </c>
      <c r="F64" s="600">
        <v>0</v>
      </c>
      <c r="G64" s="600">
        <v>0</v>
      </c>
      <c r="H64" s="14">
        <f>5001+65+3462</f>
        <v>8528</v>
      </c>
      <c r="I64" s="103">
        <f t="shared" si="6"/>
        <v>12792</v>
      </c>
      <c r="J64" s="152">
        <f>(K64/4)*2</f>
        <v>4264</v>
      </c>
      <c r="K64" s="14">
        <v>8528</v>
      </c>
      <c r="L64" s="14">
        <v>0</v>
      </c>
      <c r="M64" s="103">
        <f t="shared" si="7"/>
        <v>0</v>
      </c>
      <c r="N64" s="152">
        <f>(O64/4)*2</f>
        <v>0</v>
      </c>
      <c r="O64" s="14">
        <v>0</v>
      </c>
    </row>
    <row r="65" spans="1:15" ht="15.75">
      <c r="A65" s="601">
        <v>51</v>
      </c>
      <c r="B65" s="547" t="s">
        <v>403</v>
      </c>
      <c r="C65" s="547"/>
      <c r="D65" s="600">
        <v>0</v>
      </c>
      <c r="E65" s="600">
        <v>0</v>
      </c>
      <c r="F65" s="600">
        <v>0</v>
      </c>
      <c r="G65" s="600">
        <v>0</v>
      </c>
      <c r="H65" s="14">
        <f>4236+1887</f>
        <v>6123</v>
      </c>
      <c r="I65" s="103">
        <f t="shared" si="6"/>
        <v>9184.5</v>
      </c>
      <c r="J65" s="152">
        <f>(K65/4)*2</f>
        <v>3061.5</v>
      </c>
      <c r="K65" s="14">
        <v>6123</v>
      </c>
      <c r="L65" s="14">
        <v>0</v>
      </c>
      <c r="M65" s="103">
        <f t="shared" si="7"/>
        <v>0</v>
      </c>
      <c r="N65" s="152">
        <f>(O65/4)*2</f>
        <v>0</v>
      </c>
      <c r="O65" s="14">
        <v>0</v>
      </c>
    </row>
    <row r="66" spans="1:16" ht="15.75">
      <c r="A66" s="601">
        <v>52</v>
      </c>
      <c r="B66" s="547" t="s">
        <v>404</v>
      </c>
      <c r="C66" s="547"/>
      <c r="D66" s="600">
        <v>0</v>
      </c>
      <c r="E66" s="600">
        <v>0</v>
      </c>
      <c r="F66" s="600">
        <v>0</v>
      </c>
      <c r="G66" s="600">
        <v>0</v>
      </c>
      <c r="H66" s="603">
        <f>20063+95+14+12246</f>
        <v>32418</v>
      </c>
      <c r="I66" s="103">
        <f t="shared" si="6"/>
        <v>48635</v>
      </c>
      <c r="J66" s="338">
        <v>16217</v>
      </c>
      <c r="K66" s="603">
        <f>20063+95+14+12246</f>
        <v>32418</v>
      </c>
      <c r="L66" s="14">
        <v>16</v>
      </c>
      <c r="M66" s="103">
        <f t="shared" si="7"/>
        <v>24</v>
      </c>
      <c r="N66" s="152">
        <f>(O66/4)*2</f>
        <v>8</v>
      </c>
      <c r="O66" s="14">
        <v>16</v>
      </c>
      <c r="P66" s="56" t="s">
        <v>275</v>
      </c>
    </row>
    <row r="67" spans="1:16" s="393" customFormat="1" ht="15.75">
      <c r="A67" s="601">
        <v>53</v>
      </c>
      <c r="B67" s="547" t="s">
        <v>405</v>
      </c>
      <c r="C67" s="547"/>
      <c r="D67" s="600">
        <v>0</v>
      </c>
      <c r="E67" s="600">
        <v>0</v>
      </c>
      <c r="F67" s="600">
        <v>0</v>
      </c>
      <c r="G67" s="600">
        <v>0</v>
      </c>
      <c r="H67" s="14">
        <f>3188+84+3+2038</f>
        <v>5313</v>
      </c>
      <c r="I67" s="103">
        <f t="shared" si="6"/>
        <v>7808</v>
      </c>
      <c r="J67" s="602">
        <v>2500</v>
      </c>
      <c r="K67" s="14">
        <f>3183+84+3+2038</f>
        <v>5308</v>
      </c>
      <c r="L67" s="14">
        <v>0</v>
      </c>
      <c r="M67" s="103">
        <f t="shared" si="7"/>
        <v>0</v>
      </c>
      <c r="N67" s="152">
        <f>(O67/4)*2</f>
        <v>0</v>
      </c>
      <c r="O67" s="14">
        <v>0</v>
      </c>
      <c r="P67" s="56" t="s">
        <v>276</v>
      </c>
    </row>
    <row r="68" spans="1:15" s="393" customFormat="1" ht="15.75">
      <c r="A68" s="601">
        <v>54</v>
      </c>
      <c r="B68" s="547" t="s">
        <v>406</v>
      </c>
      <c r="C68" s="547"/>
      <c r="D68" s="600">
        <v>0</v>
      </c>
      <c r="E68" s="600">
        <v>0</v>
      </c>
      <c r="F68" s="600">
        <v>0</v>
      </c>
      <c r="G68" s="600">
        <v>0</v>
      </c>
      <c r="H68" s="14">
        <f>203+194</f>
        <v>397</v>
      </c>
      <c r="I68" s="103">
        <f t="shared" si="6"/>
        <v>595.5</v>
      </c>
      <c r="J68" s="604">
        <f>(K68/4)*2</f>
        <v>198.5</v>
      </c>
      <c r="K68" s="14">
        <v>397</v>
      </c>
      <c r="L68" s="14"/>
      <c r="M68" s="610"/>
      <c r="N68" s="602"/>
      <c r="O68" s="14"/>
    </row>
    <row r="69" spans="1:15" s="393" customFormat="1" ht="15.75">
      <c r="A69" s="601">
        <v>55</v>
      </c>
      <c r="B69" s="547" t="s">
        <v>407</v>
      </c>
      <c r="C69" s="547"/>
      <c r="D69" s="600">
        <v>0</v>
      </c>
      <c r="E69" s="600">
        <v>0</v>
      </c>
      <c r="F69" s="600">
        <v>0</v>
      </c>
      <c r="G69" s="600">
        <v>0</v>
      </c>
      <c r="H69" s="14">
        <f>8353+140+4540</f>
        <v>13033</v>
      </c>
      <c r="I69" s="103">
        <f t="shared" si="6"/>
        <v>19549</v>
      </c>
      <c r="J69" s="152">
        <v>6516</v>
      </c>
      <c r="K69" s="14">
        <f>8353+140+4540</f>
        <v>13033</v>
      </c>
      <c r="L69" s="14">
        <v>0</v>
      </c>
      <c r="M69" s="103">
        <f>N69+O69</f>
        <v>0</v>
      </c>
      <c r="N69" s="152">
        <f>(O69/4)*2</f>
        <v>0</v>
      </c>
      <c r="O69" s="14">
        <v>0</v>
      </c>
    </row>
    <row r="70" spans="1:15" s="393" customFormat="1" ht="15.75">
      <c r="A70" s="601">
        <v>56</v>
      </c>
      <c r="B70" s="547" t="s">
        <v>408</v>
      </c>
      <c r="C70" s="547"/>
      <c r="D70" s="600">
        <v>0</v>
      </c>
      <c r="E70" s="600">
        <v>0</v>
      </c>
      <c r="F70" s="600">
        <v>0</v>
      </c>
      <c r="G70" s="600">
        <v>0</v>
      </c>
      <c r="H70" s="14">
        <f>2950+28+5+2265</f>
        <v>5248</v>
      </c>
      <c r="I70" s="103">
        <f t="shared" si="6"/>
        <v>7872</v>
      </c>
      <c r="J70" s="152">
        <f>(K70/4)*2</f>
        <v>2624</v>
      </c>
      <c r="K70" s="14">
        <v>5248</v>
      </c>
      <c r="L70" s="14">
        <v>177</v>
      </c>
      <c r="M70" s="103">
        <f>N70+O70</f>
        <v>265.5</v>
      </c>
      <c r="N70" s="152">
        <f>(O70/4)*2</f>
        <v>88.5</v>
      </c>
      <c r="O70" s="14">
        <v>177</v>
      </c>
    </row>
    <row r="71" spans="1:16" s="393" customFormat="1" ht="15.75">
      <c r="A71" s="601">
        <v>57</v>
      </c>
      <c r="B71" s="547" t="s">
        <v>409</v>
      </c>
      <c r="C71" s="547"/>
      <c r="D71" s="600">
        <v>0</v>
      </c>
      <c r="E71" s="600">
        <v>0</v>
      </c>
      <c r="F71" s="600">
        <v>0</v>
      </c>
      <c r="G71" s="600">
        <v>0</v>
      </c>
      <c r="H71" s="603">
        <f>4758+438+3668</f>
        <v>8864</v>
      </c>
      <c r="I71" s="103">
        <f t="shared" si="6"/>
        <v>13300</v>
      </c>
      <c r="J71" s="338">
        <v>4436</v>
      </c>
      <c r="K71" s="603">
        <f>4758+438+3668</f>
        <v>8864</v>
      </c>
      <c r="L71" s="14">
        <v>114</v>
      </c>
      <c r="M71" s="103">
        <f>N71+O71</f>
        <v>171</v>
      </c>
      <c r="N71" s="152">
        <f>(O71/4)*2</f>
        <v>57</v>
      </c>
      <c r="O71" s="14">
        <v>114</v>
      </c>
      <c r="P71" s="393" t="s">
        <v>277</v>
      </c>
    </row>
    <row r="72" spans="1:15" s="393" customFormat="1" ht="15.75">
      <c r="A72" s="601">
        <v>58</v>
      </c>
      <c r="B72" s="547" t="s">
        <v>410</v>
      </c>
      <c r="C72" s="547"/>
      <c r="D72" s="600">
        <v>0</v>
      </c>
      <c r="E72" s="600">
        <v>0</v>
      </c>
      <c r="F72" s="600">
        <v>0</v>
      </c>
      <c r="G72" s="600">
        <v>0</v>
      </c>
      <c r="H72" s="14">
        <f>36770+774+25+23615</f>
        <v>61184</v>
      </c>
      <c r="I72" s="103">
        <f t="shared" si="6"/>
        <v>78135</v>
      </c>
      <c r="J72" s="602">
        <v>20806</v>
      </c>
      <c r="K72" s="14">
        <f>34401+725+20+22183</f>
        <v>57329</v>
      </c>
      <c r="L72" s="14">
        <v>1016</v>
      </c>
      <c r="M72" s="103">
        <f>N72+O72</f>
        <v>1441</v>
      </c>
      <c r="N72" s="602">
        <v>432</v>
      </c>
      <c r="O72" s="14">
        <v>1009</v>
      </c>
    </row>
    <row r="73" spans="1:15" s="393" customFormat="1" ht="15.75">
      <c r="A73" s="601">
        <v>59</v>
      </c>
      <c r="B73" s="547" t="s">
        <v>411</v>
      </c>
      <c r="C73" s="547"/>
      <c r="D73" s="600">
        <v>0</v>
      </c>
      <c r="E73" s="600">
        <v>0</v>
      </c>
      <c r="F73" s="600">
        <v>0</v>
      </c>
      <c r="G73" s="600">
        <v>0</v>
      </c>
      <c r="H73" s="14" t="s">
        <v>527</v>
      </c>
      <c r="I73" s="103" t="s">
        <v>527</v>
      </c>
      <c r="J73" s="152" t="s">
        <v>527</v>
      </c>
      <c r="K73" s="14" t="s">
        <v>527</v>
      </c>
      <c r="L73" s="14" t="s">
        <v>527</v>
      </c>
      <c r="M73" s="103" t="s">
        <v>527</v>
      </c>
      <c r="N73" s="152" t="s">
        <v>527</v>
      </c>
      <c r="O73" s="14" t="s">
        <v>527</v>
      </c>
    </row>
    <row r="74" spans="1:15" s="393" customFormat="1" ht="15.75">
      <c r="A74" s="601">
        <v>60</v>
      </c>
      <c r="B74" s="547" t="s">
        <v>412</v>
      </c>
      <c r="C74" s="547"/>
      <c r="D74" s="600">
        <v>0</v>
      </c>
      <c r="E74" s="600">
        <v>0</v>
      </c>
      <c r="F74" s="600">
        <v>0</v>
      </c>
      <c r="G74" s="600">
        <v>0</v>
      </c>
      <c r="H74" s="14">
        <f>1022+513</f>
        <v>1535</v>
      </c>
      <c r="I74" s="103">
        <f>J74+K74</f>
        <v>2302.5</v>
      </c>
      <c r="J74" s="152">
        <f>(K74/4)*2</f>
        <v>767.5</v>
      </c>
      <c r="K74" s="14">
        <v>1535</v>
      </c>
      <c r="L74" s="14">
        <v>0</v>
      </c>
      <c r="M74" s="103">
        <f>N74+O74</f>
        <v>0</v>
      </c>
      <c r="N74" s="152">
        <f>(O74/4)*2</f>
        <v>0</v>
      </c>
      <c r="O74" s="14">
        <v>0</v>
      </c>
    </row>
    <row r="75" spans="1:15" s="394" customFormat="1" ht="15.75">
      <c r="A75" s="601">
        <v>61</v>
      </c>
      <c r="B75" s="547" t="s">
        <v>413</v>
      </c>
      <c r="C75" s="547"/>
      <c r="D75" s="600">
        <v>0</v>
      </c>
      <c r="E75" s="600">
        <v>0</v>
      </c>
      <c r="F75" s="600">
        <v>0</v>
      </c>
      <c r="G75" s="600">
        <v>0</v>
      </c>
      <c r="H75" s="14">
        <f>7009+38+5900</f>
        <v>12947</v>
      </c>
      <c r="I75" s="103">
        <f>J75+K75</f>
        <v>19420</v>
      </c>
      <c r="J75" s="152">
        <v>6473</v>
      </c>
      <c r="K75" s="14">
        <v>12947</v>
      </c>
      <c r="L75" s="14">
        <v>2</v>
      </c>
      <c r="M75" s="103">
        <f>N75+O75</f>
        <v>3</v>
      </c>
      <c r="N75" s="152">
        <f>(O75/4)*2</f>
        <v>1</v>
      </c>
      <c r="O75" s="14">
        <v>2</v>
      </c>
    </row>
    <row r="76" spans="1:16" s="393" customFormat="1" ht="15.75">
      <c r="A76" s="601">
        <v>62</v>
      </c>
      <c r="B76" s="547" t="s">
        <v>414</v>
      </c>
      <c r="C76" s="547"/>
      <c r="D76" s="600">
        <v>0</v>
      </c>
      <c r="E76" s="600">
        <v>0</v>
      </c>
      <c r="F76" s="600">
        <v>0</v>
      </c>
      <c r="G76" s="600">
        <v>0</v>
      </c>
      <c r="H76" s="603">
        <f>4344+238+17+3001</f>
        <v>7600</v>
      </c>
      <c r="I76" s="103">
        <f>J76+K76</f>
        <v>11702</v>
      </c>
      <c r="J76" s="338">
        <v>4102</v>
      </c>
      <c r="K76" s="603">
        <f>4344+238+17+3001</f>
        <v>7600</v>
      </c>
      <c r="L76" s="14">
        <v>604</v>
      </c>
      <c r="M76" s="103">
        <f>N76+O76</f>
        <v>906</v>
      </c>
      <c r="N76" s="152">
        <f>(O76/4)*2</f>
        <v>302</v>
      </c>
      <c r="O76" s="14">
        <v>604</v>
      </c>
      <c r="P76" s="393" t="s">
        <v>278</v>
      </c>
    </row>
    <row r="77" spans="1:15" s="393" customFormat="1" ht="15.75">
      <c r="A77" s="601">
        <v>63</v>
      </c>
      <c r="B77" s="547" t="s">
        <v>415</v>
      </c>
      <c r="C77" s="549"/>
      <c r="D77" s="600">
        <v>0</v>
      </c>
      <c r="E77" s="600">
        <v>0</v>
      </c>
      <c r="F77" s="600">
        <v>0</v>
      </c>
      <c r="G77" s="600">
        <v>0</v>
      </c>
      <c r="H77" s="14">
        <f>2782+9+1904</f>
        <v>4695</v>
      </c>
      <c r="I77" s="103">
        <f>J77+K77</f>
        <v>6260</v>
      </c>
      <c r="J77" s="602">
        <v>1565</v>
      </c>
      <c r="K77" s="14">
        <v>4695</v>
      </c>
      <c r="L77" s="14">
        <v>1</v>
      </c>
      <c r="M77" s="103">
        <f>N77+O77</f>
        <v>1</v>
      </c>
      <c r="N77" s="152">
        <v>0</v>
      </c>
      <c r="O77" s="14">
        <v>1</v>
      </c>
    </row>
    <row r="78" spans="1:25" s="36" customFormat="1" ht="15.75">
      <c r="A78" s="561"/>
      <c r="B78" s="561"/>
      <c r="C78" s="561"/>
      <c r="D78" s="561"/>
      <c r="E78" s="561"/>
      <c r="F78" s="561"/>
      <c r="G78" s="561"/>
      <c r="H78" s="561"/>
      <c r="I78" s="561"/>
      <c r="J78" s="561"/>
      <c r="K78" s="561"/>
      <c r="L78" s="561"/>
      <c r="M78" s="561"/>
      <c r="N78" s="561"/>
      <c r="O78" s="561"/>
      <c r="P78" s="394"/>
      <c r="Q78" s="561"/>
      <c r="R78" s="561"/>
      <c r="S78" s="561"/>
      <c r="T78" s="561"/>
      <c r="U78" s="561"/>
      <c r="V78" s="561"/>
      <c r="W78" s="561"/>
      <c r="X78" s="35"/>
      <c r="Y78" s="35"/>
    </row>
    <row r="79" spans="1:8" s="89" customFormat="1" ht="18" customHeight="1">
      <c r="A79" s="50"/>
      <c r="B79" s="50" t="s">
        <v>342</v>
      </c>
      <c r="D79" s="56" t="s">
        <v>505</v>
      </c>
      <c r="F79" s="50"/>
      <c r="G79" s="88"/>
      <c r="H79" s="88"/>
    </row>
    <row r="80" spans="1:6" s="87" customFormat="1" ht="18" customHeight="1">
      <c r="A80" s="50"/>
      <c r="B80" s="50" t="s">
        <v>343</v>
      </c>
      <c r="D80" s="50" t="s">
        <v>344</v>
      </c>
      <c r="F80" s="50"/>
    </row>
    <row r="81" spans="1:6" s="87" customFormat="1" ht="18" customHeight="1">
      <c r="A81" s="50"/>
      <c r="B81" s="50" t="s">
        <v>345</v>
      </c>
      <c r="D81" s="50" t="s">
        <v>346</v>
      </c>
      <c r="F81" s="50"/>
    </row>
    <row r="82" spans="1:16" s="22" customFormat="1" ht="15.75">
      <c r="A82"/>
      <c r="B82" s="142"/>
      <c r="D82" s="120" t="s">
        <v>493</v>
      </c>
      <c r="F82"/>
      <c r="G82"/>
      <c r="H82"/>
      <c r="I82"/>
      <c r="J82"/>
      <c r="K82"/>
      <c r="L82"/>
      <c r="M82"/>
      <c r="N82"/>
      <c r="O82"/>
      <c r="P82" s="13"/>
    </row>
    <row r="83" spans="1:16" s="22" customFormat="1" ht="15.75">
      <c r="A83"/>
      <c r="B83" s="90"/>
      <c r="D83" s="50" t="s">
        <v>430</v>
      </c>
      <c r="F83"/>
      <c r="G83"/>
      <c r="H83"/>
      <c r="I83"/>
      <c r="J83"/>
      <c r="K83"/>
      <c r="L83"/>
      <c r="M83"/>
      <c r="N83"/>
      <c r="O83"/>
      <c r="P83" s="13"/>
    </row>
    <row r="84" spans="1:16" s="22" customFormat="1" ht="15.75">
      <c r="A84"/>
      <c r="B84" s="91"/>
      <c r="D84" s="50" t="s">
        <v>429</v>
      </c>
      <c r="F84"/>
      <c r="G84"/>
      <c r="H84"/>
      <c r="I84"/>
      <c r="J84"/>
      <c r="K84"/>
      <c r="L84"/>
      <c r="M84"/>
      <c r="N84"/>
      <c r="O84"/>
      <c r="P84" s="13"/>
    </row>
    <row r="85" spans="1:16" s="38" customFormat="1" ht="15.75">
      <c r="A85"/>
      <c r="B85" s="143"/>
      <c r="D85" s="86" t="s">
        <v>495</v>
      </c>
      <c r="F85"/>
      <c r="G85"/>
      <c r="H85"/>
      <c r="I85"/>
      <c r="J85"/>
      <c r="K85"/>
      <c r="L85"/>
      <c r="M85"/>
      <c r="N85"/>
      <c r="O85"/>
      <c r="P85" s="13"/>
    </row>
    <row r="86" spans="1:20" s="22" customFormat="1" ht="16.5" customHeight="1">
      <c r="A86"/>
      <c r="B86" s="764"/>
      <c r="D86" s="765" t="s">
        <v>133</v>
      </c>
      <c r="E86"/>
      <c r="F86"/>
      <c r="G86"/>
      <c r="H86"/>
      <c r="I86"/>
      <c r="J86"/>
      <c r="K86"/>
      <c r="L86"/>
      <c r="M86"/>
      <c r="N86"/>
      <c r="O86"/>
      <c r="P86"/>
      <c r="Q86"/>
      <c r="R86"/>
      <c r="S86"/>
      <c r="T86" s="13"/>
    </row>
    <row r="87" spans="1:20" s="22" customFormat="1" ht="15.75">
      <c r="A87"/>
      <c r="B87" s="50"/>
      <c r="C87" s="13"/>
      <c r="D87" s="13"/>
      <c r="E87"/>
      <c r="F87"/>
      <c r="G87"/>
      <c r="H87"/>
      <c r="I87"/>
      <c r="J87"/>
      <c r="K87"/>
      <c r="L87"/>
      <c r="M87"/>
      <c r="N87"/>
      <c r="O87"/>
      <c r="P87"/>
      <c r="Q87"/>
      <c r="R87"/>
      <c r="S87"/>
      <c r="T87" s="13"/>
    </row>
    <row r="88" spans="1:20" s="22" customFormat="1" ht="15.75">
      <c r="A88"/>
      <c r="B88" s="50"/>
      <c r="C88" s="13"/>
      <c r="D88" s="13"/>
      <c r="E88"/>
      <c r="F88"/>
      <c r="G88"/>
      <c r="H88"/>
      <c r="I88"/>
      <c r="J88"/>
      <c r="K88"/>
      <c r="L88"/>
      <c r="M88"/>
      <c r="N88"/>
      <c r="O88"/>
      <c r="P88"/>
      <c r="Q88"/>
      <c r="R88"/>
      <c r="S88"/>
      <c r="T88" s="13"/>
    </row>
    <row r="130" ht="22.5" customHeight="1"/>
  </sheetData>
  <sheetProtection/>
  <mergeCells count="64">
    <mergeCell ref="B45:C45"/>
    <mergeCell ref="B42:C42"/>
    <mergeCell ref="B43:C43"/>
    <mergeCell ref="B46:C46"/>
    <mergeCell ref="B47:C47"/>
    <mergeCell ref="B48:C48"/>
    <mergeCell ref="B37:C37"/>
    <mergeCell ref="B33:C33"/>
    <mergeCell ref="B34:C34"/>
    <mergeCell ref="B35:C35"/>
    <mergeCell ref="B36:C36"/>
    <mergeCell ref="B21:C21"/>
    <mergeCell ref="B57:C57"/>
    <mergeCell ref="B58:C58"/>
    <mergeCell ref="B38:C38"/>
    <mergeCell ref="B39:C39"/>
    <mergeCell ref="B40:C40"/>
    <mergeCell ref="B41:C41"/>
    <mergeCell ref="B49:C49"/>
    <mergeCell ref="B51:C51"/>
    <mergeCell ref="B52:C52"/>
    <mergeCell ref="B44:C44"/>
    <mergeCell ref="B16:C16"/>
    <mergeCell ref="A11:C11"/>
    <mergeCell ref="B29:C29"/>
    <mergeCell ref="B30:C30"/>
    <mergeCell ref="B23:C23"/>
    <mergeCell ref="B24:C24"/>
    <mergeCell ref="B19:C19"/>
    <mergeCell ref="B20:C20"/>
    <mergeCell ref="B27:C27"/>
    <mergeCell ref="B28:C28"/>
    <mergeCell ref="B31:C31"/>
    <mergeCell ref="B32:C32"/>
    <mergeCell ref="M9:M10"/>
    <mergeCell ref="A14:C14"/>
    <mergeCell ref="B25:C25"/>
    <mergeCell ref="B26:C26"/>
    <mergeCell ref="B17:C17"/>
    <mergeCell ref="B18:C18"/>
    <mergeCell ref="B22:C22"/>
    <mergeCell ref="B15:C15"/>
    <mergeCell ref="A13:C13"/>
    <mergeCell ref="H8:H10"/>
    <mergeCell ref="A7:C10"/>
    <mergeCell ref="D7:G7"/>
    <mergeCell ref="H7:K7"/>
    <mergeCell ref="D8:D10"/>
    <mergeCell ref="E8:G8"/>
    <mergeCell ref="I8:K8"/>
    <mergeCell ref="L8:L10"/>
    <mergeCell ref="A12:C12"/>
    <mergeCell ref="E9:E10"/>
    <mergeCell ref="M8:O8"/>
    <mergeCell ref="N9:O9"/>
    <mergeCell ref="J9:K9"/>
    <mergeCell ref="F9:G9"/>
    <mergeCell ref="I9:I10"/>
    <mergeCell ref="A1:C1"/>
    <mergeCell ref="A2:O2"/>
    <mergeCell ref="A3:O3"/>
    <mergeCell ref="A5:O5"/>
    <mergeCell ref="A4:O4"/>
    <mergeCell ref="L7:O7"/>
  </mergeCells>
  <printOptions/>
  <pageMargins left="0.75" right="0.25" top="0.25" bottom="0.25" header="0" footer="0"/>
  <pageSetup horizontalDpi="600" verticalDpi="600" orientation="landscape" paperSize="9" scale="90" r:id="rId2"/>
  <drawing r:id="rId1"/>
</worksheet>
</file>

<file path=xl/worksheets/sheet17.xml><?xml version="1.0" encoding="utf-8"?>
<worksheet xmlns="http://schemas.openxmlformats.org/spreadsheetml/2006/main" xmlns:r="http://schemas.openxmlformats.org/officeDocument/2006/relationships">
  <sheetPr>
    <tabColor rgb="FFFFFF00"/>
  </sheetPr>
  <dimension ref="A1:P23"/>
  <sheetViews>
    <sheetView zoomScalePageLayoutView="0" workbookViewId="0" topLeftCell="A1">
      <selection activeCell="A17" sqref="A17:IV23"/>
    </sheetView>
  </sheetViews>
  <sheetFormatPr defaultColWidth="9.140625" defaultRowHeight="12.75"/>
  <cols>
    <col min="1" max="1" width="4.140625" style="224" customWidth="1"/>
    <col min="2" max="2" width="30.00390625" style="224" customWidth="1"/>
    <col min="3" max="3" width="9.421875" style="214" customWidth="1"/>
    <col min="4" max="4" width="8.57421875" style="214" customWidth="1"/>
    <col min="5" max="5" width="12.57421875" style="214" customWidth="1"/>
    <col min="6" max="6" width="9.57421875" style="214" customWidth="1"/>
    <col min="7" max="7" width="9.28125" style="214" customWidth="1"/>
    <col min="8" max="8" width="7.140625" style="214" customWidth="1"/>
    <col min="9" max="9" width="9.00390625" style="214" customWidth="1"/>
    <col min="10" max="10" width="8.8515625" style="214" customWidth="1"/>
    <col min="11" max="11" width="14.28125" style="214" customWidth="1"/>
    <col min="12" max="12" width="8.28125" style="214" customWidth="1"/>
    <col min="13" max="13" width="11.140625" style="214" customWidth="1"/>
    <col min="14" max="14" width="9.7109375" style="214" customWidth="1"/>
    <col min="15" max="15" width="29.7109375" style="224" customWidth="1"/>
    <col min="16" max="16384" width="9.140625" style="224" customWidth="1"/>
  </cols>
  <sheetData>
    <row r="1" spans="1:14" ht="18.75">
      <c r="A1" s="1114" t="s">
        <v>318</v>
      </c>
      <c r="B1" s="1114"/>
      <c r="C1" s="441"/>
      <c r="D1" s="441"/>
      <c r="E1" s="441"/>
      <c r="F1" s="441"/>
      <c r="G1" s="441"/>
      <c r="H1" s="441"/>
      <c r="I1" s="441"/>
      <c r="J1" s="441"/>
      <c r="K1" s="441"/>
      <c r="L1" s="441"/>
      <c r="M1" s="441"/>
      <c r="N1" s="441"/>
    </row>
    <row r="2" spans="1:14" ht="18.75" customHeight="1">
      <c r="A2" s="1115" t="s">
        <v>281</v>
      </c>
      <c r="B2" s="1115"/>
      <c r="C2" s="1115"/>
      <c r="D2" s="1115"/>
      <c r="E2" s="1115"/>
      <c r="F2" s="1115"/>
      <c r="G2" s="1115"/>
      <c r="H2" s="1115"/>
      <c r="I2" s="1115"/>
      <c r="J2" s="1115"/>
      <c r="K2" s="1115"/>
      <c r="L2" s="1115"/>
      <c r="M2" s="1115"/>
      <c r="N2" s="1115"/>
    </row>
    <row r="3" spans="1:14" ht="38.25" customHeight="1">
      <c r="A3" s="1116" t="s">
        <v>256</v>
      </c>
      <c r="B3" s="1116"/>
      <c r="C3" s="1116"/>
      <c r="D3" s="1116"/>
      <c r="E3" s="1116"/>
      <c r="F3" s="1116"/>
      <c r="G3" s="1116"/>
      <c r="H3" s="1116"/>
      <c r="I3" s="1116"/>
      <c r="J3" s="1116"/>
      <c r="K3" s="1116"/>
      <c r="L3" s="1116"/>
      <c r="M3" s="1116"/>
      <c r="N3" s="1116"/>
    </row>
    <row r="4" spans="1:14" ht="18.75">
      <c r="A4" s="1116" t="s">
        <v>282</v>
      </c>
      <c r="B4" s="1116"/>
      <c r="C4" s="1116"/>
      <c r="D4" s="1116"/>
      <c r="E4" s="1116"/>
      <c r="F4" s="1116"/>
      <c r="G4" s="1116"/>
      <c r="H4" s="1116"/>
      <c r="I4" s="1116"/>
      <c r="J4" s="1116"/>
      <c r="K4" s="1116"/>
      <c r="L4" s="1116"/>
      <c r="M4" s="1116"/>
      <c r="N4" s="1116"/>
    </row>
    <row r="5" spans="1:14" ht="15" customHeight="1">
      <c r="A5" s="1017" t="s">
        <v>319</v>
      </c>
      <c r="B5" s="1017"/>
      <c r="C5" s="1017"/>
      <c r="D5" s="1017"/>
      <c r="E5" s="1017"/>
      <c r="F5" s="1017"/>
      <c r="G5" s="1017"/>
      <c r="H5" s="1017"/>
      <c r="I5" s="1017"/>
      <c r="J5" s="1017"/>
      <c r="K5" s="1017"/>
      <c r="L5" s="1017"/>
      <c r="M5" s="1017"/>
      <c r="N5" s="1017"/>
    </row>
    <row r="6" spans="1:14" ht="18.75" customHeight="1">
      <c r="A6" s="166"/>
      <c r="B6" s="166"/>
      <c r="C6" s="596"/>
      <c r="D6" s="596"/>
      <c r="E6" s="596"/>
      <c r="F6" s="596"/>
      <c r="G6" s="596"/>
      <c r="H6" s="596"/>
      <c r="I6" s="596"/>
      <c r="J6" s="596"/>
      <c r="K6" s="596"/>
      <c r="L6" s="596"/>
      <c r="M6" s="596"/>
      <c r="N6" s="596"/>
    </row>
    <row r="7" spans="1:14" s="56" customFormat="1" ht="72" customHeight="1">
      <c r="A7" s="1134"/>
      <c r="B7" s="1135"/>
      <c r="C7" s="1140" t="s">
        <v>291</v>
      </c>
      <c r="D7" s="1140"/>
      <c r="E7" s="1140"/>
      <c r="F7" s="1140"/>
      <c r="G7" s="1125" t="s">
        <v>292</v>
      </c>
      <c r="H7" s="1126"/>
      <c r="I7" s="1126"/>
      <c r="J7" s="1127"/>
      <c r="K7" s="1125" t="s">
        <v>293</v>
      </c>
      <c r="L7" s="1126"/>
      <c r="M7" s="1126"/>
      <c r="N7" s="1127"/>
    </row>
    <row r="8" spans="1:14" s="56" customFormat="1" ht="48" customHeight="1">
      <c r="A8" s="1136"/>
      <c r="B8" s="1137"/>
      <c r="C8" s="1131" t="s">
        <v>283</v>
      </c>
      <c r="D8" s="1128" t="s">
        <v>260</v>
      </c>
      <c r="E8" s="1129"/>
      <c r="F8" s="1130"/>
      <c r="G8" s="1131" t="s">
        <v>259</v>
      </c>
      <c r="H8" s="1128" t="s">
        <v>260</v>
      </c>
      <c r="I8" s="1129"/>
      <c r="J8" s="1130"/>
      <c r="K8" s="1048" t="s">
        <v>284</v>
      </c>
      <c r="L8" s="1128" t="s">
        <v>285</v>
      </c>
      <c r="M8" s="1129"/>
      <c r="N8" s="1130"/>
    </row>
    <row r="9" spans="1:14" s="56" customFormat="1" ht="22.5" customHeight="1">
      <c r="A9" s="1136"/>
      <c r="B9" s="1137"/>
      <c r="C9" s="1132"/>
      <c r="D9" s="849" t="s">
        <v>511</v>
      </c>
      <c r="E9" s="849" t="s">
        <v>321</v>
      </c>
      <c r="F9" s="849"/>
      <c r="G9" s="1132"/>
      <c r="H9" s="849" t="s">
        <v>511</v>
      </c>
      <c r="I9" s="849" t="s">
        <v>321</v>
      </c>
      <c r="J9" s="849"/>
      <c r="K9" s="1049"/>
      <c r="L9" s="849" t="s">
        <v>511</v>
      </c>
      <c r="M9" s="849" t="s">
        <v>321</v>
      </c>
      <c r="N9" s="849"/>
    </row>
    <row r="10" spans="1:14" s="56" customFormat="1" ht="84.75" customHeight="1">
      <c r="A10" s="1138"/>
      <c r="B10" s="1139"/>
      <c r="C10" s="1133"/>
      <c r="D10" s="849"/>
      <c r="E10" s="95" t="s">
        <v>333</v>
      </c>
      <c r="F10" s="95" t="s">
        <v>320</v>
      </c>
      <c r="G10" s="1133"/>
      <c r="H10" s="849"/>
      <c r="I10" s="95" t="s">
        <v>333</v>
      </c>
      <c r="J10" s="95" t="s">
        <v>320</v>
      </c>
      <c r="K10" s="1050"/>
      <c r="L10" s="849"/>
      <c r="M10" s="95" t="s">
        <v>333</v>
      </c>
      <c r="N10" s="95" t="s">
        <v>320</v>
      </c>
    </row>
    <row r="11" spans="1:14" s="56" customFormat="1" ht="21.75" customHeight="1">
      <c r="A11" s="902" t="s">
        <v>323</v>
      </c>
      <c r="B11" s="907"/>
      <c r="C11" s="597">
        <v>-1</v>
      </c>
      <c r="D11" s="598">
        <v>-2</v>
      </c>
      <c r="E11" s="597">
        <v>-3</v>
      </c>
      <c r="F11" s="598">
        <v>-4</v>
      </c>
      <c r="G11" s="597">
        <v>-5</v>
      </c>
      <c r="H11" s="598">
        <v>-6</v>
      </c>
      <c r="I11" s="597">
        <v>-7</v>
      </c>
      <c r="J11" s="598">
        <v>-8</v>
      </c>
      <c r="K11" s="597">
        <v>-9</v>
      </c>
      <c r="L11" s="598">
        <v>-10</v>
      </c>
      <c r="M11" s="597">
        <v>-11</v>
      </c>
      <c r="N11" s="598">
        <v>-12</v>
      </c>
    </row>
    <row r="12" spans="1:14" s="50" customFormat="1" ht="54.75" customHeight="1">
      <c r="A12" s="1120" t="s">
        <v>286</v>
      </c>
      <c r="B12" s="1122"/>
      <c r="C12" s="85">
        <f aca="true" t="shared" si="0" ref="C12:N12">C13+C14+C15</f>
        <v>82572</v>
      </c>
      <c r="D12" s="85">
        <f t="shared" si="0"/>
        <v>123858</v>
      </c>
      <c r="E12" s="85">
        <f t="shared" si="0"/>
        <v>41286</v>
      </c>
      <c r="F12" s="85">
        <f t="shared" si="0"/>
        <v>82572</v>
      </c>
      <c r="G12" s="85">
        <f t="shared" si="0"/>
        <v>972</v>
      </c>
      <c r="H12" s="85">
        <f t="shared" si="0"/>
        <v>1458</v>
      </c>
      <c r="I12" s="85">
        <f t="shared" si="0"/>
        <v>486</v>
      </c>
      <c r="J12" s="85">
        <f t="shared" si="0"/>
        <v>972</v>
      </c>
      <c r="K12" s="85">
        <f t="shared" si="0"/>
        <v>15912</v>
      </c>
      <c r="L12" s="85">
        <f t="shared" si="0"/>
        <v>23868</v>
      </c>
      <c r="M12" s="85">
        <f t="shared" si="0"/>
        <v>7956</v>
      </c>
      <c r="N12" s="85">
        <f t="shared" si="0"/>
        <v>15912</v>
      </c>
    </row>
    <row r="13" spans="1:15" s="56" customFormat="1" ht="36.75" customHeight="1">
      <c r="A13" s="127">
        <v>1</v>
      </c>
      <c r="B13" s="611" t="s">
        <v>287</v>
      </c>
      <c r="C13" s="338">
        <f>19099+2051+6+4744</f>
        <v>25900</v>
      </c>
      <c r="D13" s="612">
        <f>E13+F13</f>
        <v>38850</v>
      </c>
      <c r="E13" s="613">
        <f>(F13/4)*2</f>
        <v>12950</v>
      </c>
      <c r="F13" s="338">
        <f>19099+2051+6+4744</f>
        <v>25900</v>
      </c>
      <c r="G13" s="614">
        <v>159</v>
      </c>
      <c r="H13" s="612">
        <f>I13+J13</f>
        <v>238.5</v>
      </c>
      <c r="I13" s="613">
        <f>(J13/4)*2</f>
        <v>79.5</v>
      </c>
      <c r="J13" s="614">
        <v>159</v>
      </c>
      <c r="K13" s="9">
        <f>2013+435+1051</f>
        <v>3499</v>
      </c>
      <c r="L13" s="612">
        <f>M13+N13</f>
        <v>5248.5</v>
      </c>
      <c r="M13" s="613">
        <f>(N13/4)*2</f>
        <v>1749.5</v>
      </c>
      <c r="N13" s="9">
        <f>2013+435+1051</f>
        <v>3499</v>
      </c>
      <c r="O13" s="56" t="s">
        <v>288</v>
      </c>
    </row>
    <row r="14" spans="1:14" s="56" customFormat="1" ht="36.75" customHeight="1">
      <c r="A14" s="127">
        <v>2</v>
      </c>
      <c r="B14" s="611" t="s">
        <v>289</v>
      </c>
      <c r="C14" s="614">
        <f>20771+2769+25+7456</f>
        <v>31021</v>
      </c>
      <c r="D14" s="612">
        <f>E14+F14</f>
        <v>46531.5</v>
      </c>
      <c r="E14" s="613">
        <f>(F14/4)*2</f>
        <v>15510.5</v>
      </c>
      <c r="F14" s="614">
        <f>20771+2769+25+7456</f>
        <v>31021</v>
      </c>
      <c r="G14" s="614">
        <v>450</v>
      </c>
      <c r="H14" s="612">
        <f>I14+J14</f>
        <v>675</v>
      </c>
      <c r="I14" s="613">
        <f>(J14/4)*2</f>
        <v>225</v>
      </c>
      <c r="J14" s="614">
        <v>450</v>
      </c>
      <c r="K14" s="9">
        <f>3347+468+1347</f>
        <v>5162</v>
      </c>
      <c r="L14" s="612">
        <f>M14+N14</f>
        <v>7743</v>
      </c>
      <c r="M14" s="613">
        <f>(N14/4)*2</f>
        <v>2581</v>
      </c>
      <c r="N14" s="9">
        <f>3347+468+1347</f>
        <v>5162</v>
      </c>
    </row>
    <row r="15" spans="1:14" s="56" customFormat="1" ht="36.75" customHeight="1">
      <c r="A15" s="127">
        <v>3</v>
      </c>
      <c r="B15" s="611" t="s">
        <v>290</v>
      </c>
      <c r="C15" s="614">
        <f>19350+1682+6+4613</f>
        <v>25651</v>
      </c>
      <c r="D15" s="612">
        <f>E15+F15</f>
        <v>38476.5</v>
      </c>
      <c r="E15" s="613">
        <f>(F15/4)*2</f>
        <v>12825.5</v>
      </c>
      <c r="F15" s="614">
        <f>19350+1682+6+4613</f>
        <v>25651</v>
      </c>
      <c r="G15" s="614">
        <v>363</v>
      </c>
      <c r="H15" s="612">
        <f>I15+J15</f>
        <v>544.5</v>
      </c>
      <c r="I15" s="613">
        <f>(J15/4)*2</f>
        <v>181.5</v>
      </c>
      <c r="J15" s="614">
        <v>363</v>
      </c>
      <c r="K15" s="9">
        <f>6502+749</f>
        <v>7251</v>
      </c>
      <c r="L15" s="612">
        <f>M15+N15</f>
        <v>10876.5</v>
      </c>
      <c r="M15" s="613">
        <f>(N15/4)*2</f>
        <v>3625.5</v>
      </c>
      <c r="N15" s="9">
        <f>6502+749</f>
        <v>7251</v>
      </c>
    </row>
    <row r="16" spans="3:14" s="56" customFormat="1" ht="15.75">
      <c r="C16" s="393"/>
      <c r="D16" s="393"/>
      <c r="E16" s="393"/>
      <c r="F16" s="393"/>
      <c r="G16" s="393"/>
      <c r="H16" s="393"/>
      <c r="I16" s="393"/>
      <c r="J16" s="393"/>
      <c r="K16" s="393"/>
      <c r="L16" s="393"/>
      <c r="M16" s="393"/>
      <c r="N16" s="393"/>
    </row>
    <row r="17" spans="1:8" s="89" customFormat="1" ht="18" customHeight="1">
      <c r="A17" s="50"/>
      <c r="B17" s="50" t="s">
        <v>342</v>
      </c>
      <c r="C17" s="56" t="s">
        <v>505</v>
      </c>
      <c r="F17" s="50"/>
      <c r="G17" s="88"/>
      <c r="H17" s="88"/>
    </row>
    <row r="18" spans="1:6" s="87" customFormat="1" ht="18" customHeight="1">
      <c r="A18" s="50"/>
      <c r="B18" s="50" t="s">
        <v>343</v>
      </c>
      <c r="C18" s="50" t="s">
        <v>344</v>
      </c>
      <c r="F18" s="50"/>
    </row>
    <row r="19" spans="1:6" s="87" customFormat="1" ht="18" customHeight="1">
      <c r="A19" s="50"/>
      <c r="B19" s="50" t="s">
        <v>345</v>
      </c>
      <c r="C19" s="50" t="s">
        <v>346</v>
      </c>
      <c r="F19" s="50"/>
    </row>
    <row r="20" spans="1:16" s="22" customFormat="1" ht="15.75">
      <c r="A20"/>
      <c r="B20" s="142"/>
      <c r="C20" s="120" t="s">
        <v>493</v>
      </c>
      <c r="F20"/>
      <c r="G20"/>
      <c r="H20"/>
      <c r="I20"/>
      <c r="J20"/>
      <c r="K20"/>
      <c r="L20"/>
      <c r="M20"/>
      <c r="N20"/>
      <c r="O20"/>
      <c r="P20" s="13"/>
    </row>
    <row r="21" spans="1:16" s="22" customFormat="1" ht="15.75">
      <c r="A21"/>
      <c r="B21" s="90"/>
      <c r="C21" s="50" t="s">
        <v>430</v>
      </c>
      <c r="F21"/>
      <c r="G21"/>
      <c r="H21"/>
      <c r="I21"/>
      <c r="J21"/>
      <c r="K21"/>
      <c r="L21"/>
      <c r="M21"/>
      <c r="N21"/>
      <c r="O21"/>
      <c r="P21" s="13"/>
    </row>
    <row r="22" spans="1:16" s="22" customFormat="1" ht="15.75">
      <c r="A22"/>
      <c r="B22" s="91"/>
      <c r="C22" s="50" t="s">
        <v>429</v>
      </c>
      <c r="F22"/>
      <c r="G22"/>
      <c r="H22"/>
      <c r="I22"/>
      <c r="J22"/>
      <c r="K22"/>
      <c r="L22"/>
      <c r="M22"/>
      <c r="N22"/>
      <c r="O22"/>
      <c r="P22" s="13"/>
    </row>
    <row r="23" spans="1:16" s="38" customFormat="1" ht="15.75">
      <c r="A23"/>
      <c r="B23" s="143"/>
      <c r="C23" s="86" t="s">
        <v>495</v>
      </c>
      <c r="F23"/>
      <c r="G23"/>
      <c r="H23"/>
      <c r="I23"/>
      <c r="J23"/>
      <c r="K23"/>
      <c r="L23"/>
      <c r="M23"/>
      <c r="N23"/>
      <c r="O23"/>
      <c r="P23" s="13"/>
    </row>
  </sheetData>
  <sheetProtection/>
  <mergeCells count="23">
    <mergeCell ref="D9:D10"/>
    <mergeCell ref="H9:H10"/>
    <mergeCell ref="D8:F8"/>
    <mergeCell ref="A1:B1"/>
    <mergeCell ref="A2:N2"/>
    <mergeCell ref="A3:N3"/>
    <mergeCell ref="A5:N5"/>
    <mergeCell ref="A4:N4"/>
    <mergeCell ref="A12:B12"/>
    <mergeCell ref="G8:G10"/>
    <mergeCell ref="H8:J8"/>
    <mergeCell ref="A7:B10"/>
    <mergeCell ref="C7:F7"/>
    <mergeCell ref="K8:K10"/>
    <mergeCell ref="K7:N7"/>
    <mergeCell ref="L8:N8"/>
    <mergeCell ref="A11:B11"/>
    <mergeCell ref="I9:J9"/>
    <mergeCell ref="G7:J7"/>
    <mergeCell ref="L9:L10"/>
    <mergeCell ref="M9:N9"/>
    <mergeCell ref="E9:F9"/>
    <mergeCell ref="C8:C10"/>
  </mergeCells>
  <printOptions/>
  <pageMargins left="0.75" right="0.25" top="0.25" bottom="0.25" header="0" footer="0"/>
  <pageSetup horizontalDpi="600" verticalDpi="600" orientation="landscape" paperSize="9" scale="90" r:id="rId2"/>
  <drawing r:id="rId1"/>
</worksheet>
</file>

<file path=xl/worksheets/sheet18.xml><?xml version="1.0" encoding="utf-8"?>
<worksheet xmlns="http://schemas.openxmlformats.org/spreadsheetml/2006/main" xmlns:r="http://schemas.openxmlformats.org/officeDocument/2006/relationships">
  <dimension ref="A1:S168"/>
  <sheetViews>
    <sheetView zoomScale="90" zoomScaleNormal="90" zoomScalePageLayoutView="0" workbookViewId="0" topLeftCell="H5">
      <selection activeCell="S13" sqref="S13"/>
    </sheetView>
  </sheetViews>
  <sheetFormatPr defaultColWidth="9.140625" defaultRowHeight="12.75"/>
  <cols>
    <col min="1" max="1" width="4.57421875" style="0" customWidth="1"/>
    <col min="2" max="2" width="17.140625" style="0" customWidth="1"/>
    <col min="3" max="3" width="10.421875" style="0" customWidth="1"/>
    <col min="4" max="4" width="9.421875" style="0" customWidth="1"/>
    <col min="5" max="5" width="7.421875" style="399" customWidth="1"/>
    <col min="6" max="6" width="9.8515625" style="0" customWidth="1"/>
    <col min="7" max="7" width="10.421875" style="0" customWidth="1"/>
    <col min="8" max="8" width="9.28125" style="0" customWidth="1"/>
    <col min="9" max="9" width="9.00390625" style="0" customWidth="1"/>
    <col min="10" max="10" width="8.57421875" style="0" customWidth="1"/>
    <col min="11" max="11" width="8.00390625" style="0" customWidth="1"/>
    <col min="12" max="12" width="10.57421875" style="0" customWidth="1"/>
    <col min="13" max="13" width="16.7109375" style="254" customWidth="1"/>
    <col min="14" max="14" width="14.8515625" style="0" customWidth="1"/>
    <col min="15" max="15" width="16.00390625" style="400" customWidth="1"/>
    <col min="16" max="16" width="17.00390625" style="400" customWidth="1"/>
    <col min="17" max="17" width="15.8515625" style="400" bestFit="1" customWidth="1"/>
    <col min="18" max="18" width="15.140625" style="400" customWidth="1"/>
    <col min="20" max="20" width="17.140625" style="0" customWidth="1"/>
  </cols>
  <sheetData>
    <row r="1" spans="1:4" ht="16.5">
      <c r="A1" s="1178" t="s">
        <v>318</v>
      </c>
      <c r="B1" s="1178"/>
      <c r="C1" s="1178"/>
      <c r="D1" s="398"/>
    </row>
    <row r="2" spans="1:18" ht="18.75">
      <c r="A2" s="1179" t="s">
        <v>102</v>
      </c>
      <c r="B2" s="1179"/>
      <c r="C2" s="1179"/>
      <c r="D2" s="1179"/>
      <c r="E2" s="1179"/>
      <c r="F2" s="1179"/>
      <c r="G2" s="1179"/>
      <c r="H2" s="1179"/>
      <c r="I2" s="1179"/>
      <c r="J2" s="1179"/>
      <c r="K2" s="1179"/>
      <c r="L2" s="1179"/>
      <c r="M2" s="1179"/>
      <c r="N2" s="1179"/>
      <c r="O2" s="1179"/>
      <c r="P2" s="1179"/>
      <c r="Q2" s="1179"/>
      <c r="R2" s="1179"/>
    </row>
    <row r="3" spans="1:18" ht="18.75">
      <c r="A3" s="1100" t="s">
        <v>103</v>
      </c>
      <c r="B3" s="1100"/>
      <c r="C3" s="1100"/>
      <c r="D3" s="1100"/>
      <c r="E3" s="1100"/>
      <c r="F3" s="1100"/>
      <c r="G3" s="1100"/>
      <c r="H3" s="1100"/>
      <c r="I3" s="1100"/>
      <c r="J3" s="1100"/>
      <c r="K3" s="1100"/>
      <c r="L3" s="1100"/>
      <c r="M3" s="1100"/>
      <c r="N3" s="1100"/>
      <c r="O3" s="1100"/>
      <c r="P3" s="1100"/>
      <c r="Q3" s="1100"/>
      <c r="R3" s="1100"/>
    </row>
    <row r="4" spans="1:18" ht="18.75">
      <c r="A4" s="1180" t="s">
        <v>319</v>
      </c>
      <c r="B4" s="1181"/>
      <c r="C4" s="1181"/>
      <c r="D4" s="1181"/>
      <c r="E4" s="1181"/>
      <c r="F4" s="1181"/>
      <c r="G4" s="1181"/>
      <c r="H4" s="1181"/>
      <c r="I4" s="1181"/>
      <c r="J4" s="1181"/>
      <c r="K4" s="1181"/>
      <c r="L4" s="1181"/>
      <c r="M4" s="1181"/>
      <c r="N4" s="1181"/>
      <c r="O4" s="1181"/>
      <c r="P4" s="1181"/>
      <c r="Q4" s="1181"/>
      <c r="R4" s="1181"/>
    </row>
    <row r="5" spans="1:18" ht="24.75" customHeight="1">
      <c r="A5" s="402"/>
      <c r="B5" s="403"/>
      <c r="C5" s="403"/>
      <c r="D5" s="403"/>
      <c r="E5" s="404"/>
      <c r="F5" s="403"/>
      <c r="G5" s="403"/>
      <c r="H5" s="403"/>
      <c r="I5" s="403"/>
      <c r="J5" s="403"/>
      <c r="K5" s="403"/>
      <c r="L5" s="403"/>
      <c r="M5" s="405"/>
      <c r="N5" s="403"/>
      <c r="O5" s="403"/>
      <c r="P5" s="405"/>
      <c r="Q5" s="403"/>
      <c r="R5" s="403"/>
    </row>
    <row r="6" spans="1:18" ht="18.75">
      <c r="A6" s="402" t="s">
        <v>104</v>
      </c>
      <c r="B6" s="1182" t="s">
        <v>105</v>
      </c>
      <c r="C6" s="1182"/>
      <c r="D6" s="1182"/>
      <c r="E6" s="1182"/>
      <c r="F6" s="1182"/>
      <c r="G6" s="1182"/>
      <c r="H6" s="1182"/>
      <c r="I6" s="1182"/>
      <c r="J6" s="1182"/>
      <c r="K6" s="1182"/>
      <c r="L6" s="1182"/>
      <c r="M6" s="1182"/>
      <c r="N6" s="1182"/>
      <c r="O6" s="1182"/>
      <c r="P6" s="1182"/>
      <c r="Q6" s="1182"/>
      <c r="R6" s="1182"/>
    </row>
    <row r="7" spans="1:4" ht="27" customHeight="1">
      <c r="A7" s="406"/>
      <c r="B7" s="27"/>
      <c r="C7" s="27"/>
      <c r="D7" s="27"/>
    </row>
    <row r="8" spans="1:18" s="50" customFormat="1" ht="43.5" customHeight="1">
      <c r="A8" s="1183"/>
      <c r="B8" s="1184"/>
      <c r="C8" s="1189" t="s">
        <v>137</v>
      </c>
      <c r="D8" s="1190"/>
      <c r="E8" s="1191"/>
      <c r="F8" s="1076" t="s">
        <v>138</v>
      </c>
      <c r="G8" s="1195" t="s">
        <v>139</v>
      </c>
      <c r="H8" s="1196"/>
      <c r="I8" s="1196"/>
      <c r="J8" s="1196"/>
      <c r="K8" s="1196"/>
      <c r="L8" s="1197"/>
      <c r="M8" s="877" t="s">
        <v>140</v>
      </c>
      <c r="N8" s="878"/>
      <c r="O8" s="878"/>
      <c r="P8" s="878"/>
      <c r="Q8" s="878"/>
      <c r="R8" s="879"/>
    </row>
    <row r="9" spans="1:18" s="50" customFormat="1" ht="39" customHeight="1">
      <c r="A9" s="1185"/>
      <c r="B9" s="1186"/>
      <c r="C9" s="1192"/>
      <c r="D9" s="1193"/>
      <c r="E9" s="1194"/>
      <c r="F9" s="1076"/>
      <c r="G9" s="1159" t="s">
        <v>511</v>
      </c>
      <c r="H9" s="849" t="s">
        <v>512</v>
      </c>
      <c r="I9" s="849" t="s">
        <v>320</v>
      </c>
      <c r="J9" s="849"/>
      <c r="K9" s="849"/>
      <c r="L9" s="849"/>
      <c r="M9" s="848" t="s">
        <v>141</v>
      </c>
      <c r="N9" s="848"/>
      <c r="O9" s="848"/>
      <c r="P9" s="848" t="s">
        <v>106</v>
      </c>
      <c r="Q9" s="848"/>
      <c r="R9" s="848"/>
    </row>
    <row r="10" spans="1:18" s="50" customFormat="1" ht="43.5" customHeight="1">
      <c r="A10" s="1185"/>
      <c r="B10" s="1186"/>
      <c r="C10" s="1159" t="s">
        <v>322</v>
      </c>
      <c r="D10" s="1159" t="s">
        <v>107</v>
      </c>
      <c r="E10" s="1159"/>
      <c r="F10" s="1076"/>
      <c r="G10" s="1159"/>
      <c r="H10" s="849"/>
      <c r="I10" s="849" t="s">
        <v>322</v>
      </c>
      <c r="J10" s="1142" t="s">
        <v>328</v>
      </c>
      <c r="K10" s="1143"/>
      <c r="L10" s="1144"/>
      <c r="M10" s="854" t="s">
        <v>511</v>
      </c>
      <c r="N10" s="1142" t="s">
        <v>321</v>
      </c>
      <c r="O10" s="1144"/>
      <c r="P10" s="854" t="s">
        <v>511</v>
      </c>
      <c r="Q10" s="1142" t="s">
        <v>321</v>
      </c>
      <c r="R10" s="1144"/>
    </row>
    <row r="11" spans="1:18" s="50" customFormat="1" ht="95.25" customHeight="1">
      <c r="A11" s="1187"/>
      <c r="B11" s="1188"/>
      <c r="C11" s="1159"/>
      <c r="D11" s="58" t="s">
        <v>108</v>
      </c>
      <c r="E11" s="58" t="s">
        <v>109</v>
      </c>
      <c r="F11" s="1076"/>
      <c r="G11" s="1159"/>
      <c r="H11" s="849"/>
      <c r="I11" s="849"/>
      <c r="J11" s="95" t="s">
        <v>110</v>
      </c>
      <c r="K11" s="95" t="s">
        <v>111</v>
      </c>
      <c r="L11" s="407" t="s">
        <v>112</v>
      </c>
      <c r="M11" s="855"/>
      <c r="N11" s="156" t="s">
        <v>512</v>
      </c>
      <c r="O11" s="371" t="s">
        <v>320</v>
      </c>
      <c r="P11" s="855"/>
      <c r="Q11" s="156" t="s">
        <v>512</v>
      </c>
      <c r="R11" s="371" t="s">
        <v>320</v>
      </c>
    </row>
    <row r="12" spans="1:18" s="56" customFormat="1" ht="19.5" customHeight="1">
      <c r="A12" s="1159" t="s">
        <v>323</v>
      </c>
      <c r="B12" s="1159"/>
      <c r="C12" s="408">
        <v>1</v>
      </c>
      <c r="D12" s="408">
        <v>2</v>
      </c>
      <c r="E12" s="409">
        <v>3</v>
      </c>
      <c r="F12" s="408">
        <v>4</v>
      </c>
      <c r="G12" s="408">
        <v>5</v>
      </c>
      <c r="H12" s="408">
        <v>6</v>
      </c>
      <c r="I12" s="408">
        <v>7</v>
      </c>
      <c r="J12" s="408">
        <v>8</v>
      </c>
      <c r="K12" s="408">
        <v>9</v>
      </c>
      <c r="L12" s="408">
        <v>10</v>
      </c>
      <c r="M12" s="410">
        <v>11</v>
      </c>
      <c r="N12" s="408">
        <v>12</v>
      </c>
      <c r="O12" s="408">
        <v>13</v>
      </c>
      <c r="P12" s="410">
        <v>14</v>
      </c>
      <c r="Q12" s="408">
        <v>15</v>
      </c>
      <c r="R12" s="408">
        <v>16</v>
      </c>
    </row>
    <row r="13" spans="1:19" s="56" customFormat="1" ht="27.75" customHeight="1">
      <c r="A13" s="1176" t="s">
        <v>324</v>
      </c>
      <c r="B13" s="1177"/>
      <c r="C13" s="411">
        <f aca="true" t="shared" si="0" ref="C13:R13">SUM(C14:C76)</f>
        <v>3408</v>
      </c>
      <c r="D13" s="411">
        <f t="shared" si="0"/>
        <v>2322</v>
      </c>
      <c r="E13" s="412">
        <f t="shared" si="0"/>
        <v>1086</v>
      </c>
      <c r="F13" s="717">
        <f t="shared" si="0"/>
        <v>5768</v>
      </c>
      <c r="G13" s="411">
        <f t="shared" si="0"/>
        <v>70887.5</v>
      </c>
      <c r="H13" s="411">
        <f t="shared" si="0"/>
        <v>20991.5</v>
      </c>
      <c r="I13" s="411">
        <f t="shared" si="0"/>
        <v>49896</v>
      </c>
      <c r="J13" s="411">
        <f t="shared" si="0"/>
        <v>9950</v>
      </c>
      <c r="K13" s="413">
        <f t="shared" si="0"/>
        <v>23557</v>
      </c>
      <c r="L13" s="411">
        <f t="shared" si="0"/>
        <v>11844</v>
      </c>
      <c r="M13" s="717">
        <f t="shared" si="0"/>
        <v>1603121146.264</v>
      </c>
      <c r="N13" s="717">
        <f t="shared" si="0"/>
        <v>512789175.445</v>
      </c>
      <c r="O13" s="717">
        <f t="shared" si="0"/>
        <v>1090331970.819</v>
      </c>
      <c r="P13" s="717">
        <f t="shared" si="0"/>
        <v>154820414.6</v>
      </c>
      <c r="Q13" s="717">
        <f t="shared" si="0"/>
        <v>56456625.2</v>
      </c>
      <c r="R13" s="717">
        <f t="shared" si="0"/>
        <v>98363789.4</v>
      </c>
      <c r="S13" s="457" t="s">
        <v>157</v>
      </c>
    </row>
    <row r="14" spans="1:18" s="345" customFormat="1" ht="19.5" customHeight="1">
      <c r="A14" s="414">
        <v>1</v>
      </c>
      <c r="B14" s="415" t="s">
        <v>449</v>
      </c>
      <c r="C14" s="416">
        <f aca="true" t="shared" si="1" ref="C14:C45">D14+E14</f>
        <v>35</v>
      </c>
      <c r="D14" s="415">
        <v>34</v>
      </c>
      <c r="E14" s="14">
        <v>1</v>
      </c>
      <c r="F14" s="14">
        <v>54</v>
      </c>
      <c r="G14" s="97">
        <f aca="true" t="shared" si="2" ref="G14:G45">H14+I14</f>
        <v>1462.5</v>
      </c>
      <c r="H14" s="97">
        <f>I14/4*2</f>
        <v>487.5</v>
      </c>
      <c r="I14" s="14">
        <f>947+28</f>
        <v>975</v>
      </c>
      <c r="J14" s="14">
        <f>233+18</f>
        <v>251</v>
      </c>
      <c r="K14" s="14">
        <f>598+10</f>
        <v>608</v>
      </c>
      <c r="L14" s="14">
        <f>54+0</f>
        <v>54</v>
      </c>
      <c r="M14" s="97">
        <f aca="true" t="shared" si="3" ref="M14:M46">N14+O14</f>
        <v>729349.5</v>
      </c>
      <c r="N14" s="97">
        <f>O14/4*2</f>
        <v>243116.5</v>
      </c>
      <c r="O14" s="9">
        <f>450233+36000</f>
        <v>486233</v>
      </c>
      <c r="P14" s="152">
        <f aca="true" t="shared" si="4" ref="P14:P46">Q14+R14</f>
        <v>77065.5</v>
      </c>
      <c r="Q14" s="152">
        <f>R14/4*2</f>
        <v>25688.5</v>
      </c>
      <c r="R14" s="9">
        <f>45031+6346</f>
        <v>51377</v>
      </c>
    </row>
    <row r="15" spans="1:18" s="345" customFormat="1" ht="19.5" customHeight="1">
      <c r="A15" s="414">
        <v>2</v>
      </c>
      <c r="B15" s="415" t="s">
        <v>450</v>
      </c>
      <c r="C15" s="416">
        <f t="shared" si="1"/>
        <v>60</v>
      </c>
      <c r="D15" s="415">
        <v>48</v>
      </c>
      <c r="E15" s="14">
        <v>12</v>
      </c>
      <c r="F15" s="14">
        <v>174</v>
      </c>
      <c r="G15" s="97">
        <f t="shared" si="2"/>
        <v>3062</v>
      </c>
      <c r="H15" s="14">
        <v>1014</v>
      </c>
      <c r="I15" s="14">
        <v>2048</v>
      </c>
      <c r="J15" s="14">
        <v>377</v>
      </c>
      <c r="K15" s="14">
        <v>454</v>
      </c>
      <c r="L15" s="14">
        <v>819</v>
      </c>
      <c r="M15" s="97">
        <f t="shared" si="3"/>
        <v>8230065</v>
      </c>
      <c r="N15" s="14">
        <v>2733355</v>
      </c>
      <c r="O15" s="9">
        <v>5496710</v>
      </c>
      <c r="P15" s="152">
        <f t="shared" si="4"/>
        <v>618507</v>
      </c>
      <c r="Q15" s="9">
        <v>205836</v>
      </c>
      <c r="R15" s="9">
        <v>412671</v>
      </c>
    </row>
    <row r="16" spans="1:18" s="345" customFormat="1" ht="19.5" customHeight="1">
      <c r="A16" s="414">
        <v>3</v>
      </c>
      <c r="B16" s="415" t="s">
        <v>451</v>
      </c>
      <c r="C16" s="416">
        <f t="shared" si="1"/>
        <v>14</v>
      </c>
      <c r="D16" s="415">
        <v>10</v>
      </c>
      <c r="E16" s="14">
        <v>4</v>
      </c>
      <c r="F16" s="14">
        <v>34</v>
      </c>
      <c r="G16" s="97">
        <f t="shared" si="2"/>
        <v>936</v>
      </c>
      <c r="H16" s="97">
        <f>I16/4*2</f>
        <v>312</v>
      </c>
      <c r="I16" s="14">
        <f>464+160</f>
        <v>624</v>
      </c>
      <c r="J16" s="14">
        <f>149+26</f>
        <v>175</v>
      </c>
      <c r="K16" s="14">
        <f>279+86</f>
        <v>365</v>
      </c>
      <c r="L16" s="14">
        <f>21+8</f>
        <v>29</v>
      </c>
      <c r="M16" s="97">
        <f t="shared" si="3"/>
        <v>1097351.764</v>
      </c>
      <c r="N16" s="417">
        <v>365783.945</v>
      </c>
      <c r="O16" s="9">
        <f>511567.819+220000</f>
        <v>731567.819</v>
      </c>
      <c r="P16" s="152">
        <f t="shared" si="4"/>
        <v>72526.5</v>
      </c>
      <c r="Q16" s="152">
        <f>R16/4*2</f>
        <v>24175.5</v>
      </c>
      <c r="R16" s="9">
        <f>30351+18000</f>
        <v>48351</v>
      </c>
    </row>
    <row r="17" spans="1:18" s="345" customFormat="1" ht="19.5" customHeight="1">
      <c r="A17" s="414">
        <v>4</v>
      </c>
      <c r="B17" s="415" t="s">
        <v>452</v>
      </c>
      <c r="C17" s="416">
        <f t="shared" si="1"/>
        <v>6</v>
      </c>
      <c r="D17" s="415">
        <v>6</v>
      </c>
      <c r="E17" s="14">
        <v>0</v>
      </c>
      <c r="F17" s="14">
        <v>6</v>
      </c>
      <c r="G17" s="97">
        <f t="shared" si="2"/>
        <v>73.5</v>
      </c>
      <c r="H17" s="97">
        <f>I17/4*2</f>
        <v>24.5</v>
      </c>
      <c r="I17" s="14">
        <v>49</v>
      </c>
      <c r="J17" s="14">
        <v>10</v>
      </c>
      <c r="K17" s="14">
        <v>37</v>
      </c>
      <c r="L17" s="14">
        <v>2</v>
      </c>
      <c r="M17" s="97">
        <f t="shared" si="3"/>
        <v>55500</v>
      </c>
      <c r="N17" s="418">
        <f>O17/4*2</f>
        <v>18500</v>
      </c>
      <c r="O17" s="9">
        <v>37000</v>
      </c>
      <c r="P17" s="152">
        <f t="shared" si="4"/>
        <v>0</v>
      </c>
      <c r="Q17" s="152">
        <f>R17/4*2</f>
        <v>0</v>
      </c>
      <c r="R17" s="9">
        <v>0</v>
      </c>
    </row>
    <row r="18" spans="1:18" s="345" customFormat="1" ht="19.5" customHeight="1">
      <c r="A18" s="414">
        <v>5</v>
      </c>
      <c r="B18" s="415" t="s">
        <v>453</v>
      </c>
      <c r="C18" s="416">
        <f t="shared" si="1"/>
        <v>8</v>
      </c>
      <c r="D18" s="415">
        <v>7</v>
      </c>
      <c r="E18" s="14">
        <v>1</v>
      </c>
      <c r="F18" s="14">
        <v>18</v>
      </c>
      <c r="G18" s="97">
        <f t="shared" si="2"/>
        <v>321</v>
      </c>
      <c r="H18" s="97">
        <f>I18/4*2</f>
        <v>107</v>
      </c>
      <c r="I18" s="14">
        <f>168+46</f>
        <v>214</v>
      </c>
      <c r="J18" s="14">
        <f>71+5</f>
        <v>76</v>
      </c>
      <c r="K18" s="14">
        <f>49+35</f>
        <v>84</v>
      </c>
      <c r="L18" s="14">
        <f>48+6</f>
        <v>54</v>
      </c>
      <c r="M18" s="97">
        <f t="shared" si="3"/>
        <v>237300</v>
      </c>
      <c r="N18" s="97">
        <f>O18/4*2</f>
        <v>79100</v>
      </c>
      <c r="O18" s="9">
        <f>118200+40000</f>
        <v>158200</v>
      </c>
      <c r="P18" s="152">
        <f t="shared" si="4"/>
        <v>58200</v>
      </c>
      <c r="Q18" s="152">
        <f>R18/4*2</f>
        <v>19400</v>
      </c>
      <c r="R18" s="9">
        <f>34800+4000</f>
        <v>38800</v>
      </c>
    </row>
    <row r="19" spans="1:18" s="345" customFormat="1" ht="19.5" customHeight="1">
      <c r="A19" s="414">
        <v>6</v>
      </c>
      <c r="B19" s="415" t="s">
        <v>454</v>
      </c>
      <c r="C19" s="416">
        <f t="shared" si="1"/>
        <v>12</v>
      </c>
      <c r="D19" s="415">
        <v>6</v>
      </c>
      <c r="E19" s="14">
        <v>6</v>
      </c>
      <c r="F19" s="14">
        <v>31</v>
      </c>
      <c r="G19" s="97">
        <f t="shared" si="2"/>
        <v>507</v>
      </c>
      <c r="H19" s="14">
        <v>127</v>
      </c>
      <c r="I19" s="14">
        <f>101+279</f>
        <v>380</v>
      </c>
      <c r="J19" s="14">
        <f>32+21</f>
        <v>53</v>
      </c>
      <c r="K19" s="14">
        <f>37+64</f>
        <v>101</v>
      </c>
      <c r="L19" s="14">
        <f>18+185</f>
        <v>203</v>
      </c>
      <c r="M19" s="97">
        <f t="shared" si="3"/>
        <v>297080</v>
      </c>
      <c r="N19" s="14">
        <f>16317+57953</f>
        <v>74270</v>
      </c>
      <c r="O19" s="9">
        <f>48950+173860</f>
        <v>222810</v>
      </c>
      <c r="P19" s="152">
        <f t="shared" si="4"/>
        <v>30328</v>
      </c>
      <c r="Q19" s="9">
        <f>1667+5915</f>
        <v>7582</v>
      </c>
      <c r="R19" s="9">
        <f>5000+17746</f>
        <v>22746</v>
      </c>
    </row>
    <row r="20" spans="1:18" s="345" customFormat="1" ht="19.5" customHeight="1">
      <c r="A20" s="414">
        <v>7</v>
      </c>
      <c r="B20" s="415" t="s">
        <v>455</v>
      </c>
      <c r="C20" s="416">
        <f t="shared" si="1"/>
        <v>24</v>
      </c>
      <c r="D20" s="415">
        <v>23</v>
      </c>
      <c r="E20" s="14">
        <v>1</v>
      </c>
      <c r="F20" s="14">
        <v>33</v>
      </c>
      <c r="G20" s="97">
        <f t="shared" si="2"/>
        <v>428</v>
      </c>
      <c r="H20" s="14">
        <v>107</v>
      </c>
      <c r="I20" s="14">
        <f>318+3</f>
        <v>321</v>
      </c>
      <c r="J20" s="14">
        <f>125+3</f>
        <v>128</v>
      </c>
      <c r="K20" s="14">
        <f>122+0</f>
        <v>122</v>
      </c>
      <c r="L20" s="14">
        <f>37+0</f>
        <v>37</v>
      </c>
      <c r="M20" s="97">
        <f t="shared" si="3"/>
        <v>281700</v>
      </c>
      <c r="N20" s="14">
        <v>75700</v>
      </c>
      <c r="O20" s="9">
        <f>205000+1000</f>
        <v>206000</v>
      </c>
      <c r="P20" s="152">
        <f t="shared" si="4"/>
        <v>25213</v>
      </c>
      <c r="Q20" s="9">
        <v>7093</v>
      </c>
      <c r="R20" s="9">
        <f>18020+100</f>
        <v>18120</v>
      </c>
    </row>
    <row r="21" spans="1:18" s="345" customFormat="1" ht="19.5" customHeight="1">
      <c r="A21" s="414">
        <v>8</v>
      </c>
      <c r="B21" s="415" t="s">
        <v>456</v>
      </c>
      <c r="C21" s="416">
        <f t="shared" si="1"/>
        <v>20</v>
      </c>
      <c r="D21" s="415">
        <v>19</v>
      </c>
      <c r="E21" s="9">
        <v>1</v>
      </c>
      <c r="F21" s="9">
        <v>36</v>
      </c>
      <c r="G21" s="97">
        <f t="shared" si="2"/>
        <v>72</v>
      </c>
      <c r="H21" s="97">
        <f>I21/4*2</f>
        <v>24</v>
      </c>
      <c r="I21" s="14">
        <v>48</v>
      </c>
      <c r="J21" s="14">
        <v>18</v>
      </c>
      <c r="K21" s="14">
        <v>16</v>
      </c>
      <c r="L21" s="14">
        <v>12</v>
      </c>
      <c r="M21" s="97">
        <f t="shared" si="3"/>
        <v>38265</v>
      </c>
      <c r="N21" s="97">
        <f aca="true" t="shared" si="5" ref="N21:N29">O21/4*2</f>
        <v>12755</v>
      </c>
      <c r="O21" s="9">
        <v>25510</v>
      </c>
      <c r="P21" s="152">
        <f t="shared" si="4"/>
        <v>10146</v>
      </c>
      <c r="Q21" s="152">
        <f>R21/4*2</f>
        <v>3382</v>
      </c>
      <c r="R21" s="9">
        <v>6764</v>
      </c>
    </row>
    <row r="22" spans="1:19" s="345" customFormat="1" ht="19.5" customHeight="1">
      <c r="A22" s="414">
        <v>9</v>
      </c>
      <c r="B22" s="415" t="s">
        <v>457</v>
      </c>
      <c r="C22" s="419">
        <f t="shared" si="1"/>
        <v>34</v>
      </c>
      <c r="D22" s="415">
        <v>28</v>
      </c>
      <c r="E22" s="14">
        <v>6</v>
      </c>
      <c r="F22" s="420">
        <v>18</v>
      </c>
      <c r="G22" s="97">
        <f t="shared" si="2"/>
        <v>550</v>
      </c>
      <c r="H22" s="14">
        <v>156</v>
      </c>
      <c r="I22" s="14">
        <f>313+81</f>
        <v>394</v>
      </c>
      <c r="J22" s="14">
        <f>57+19</f>
        <v>76</v>
      </c>
      <c r="K22" s="14">
        <f>189+58</f>
        <v>247</v>
      </c>
      <c r="L22" s="14">
        <f>23+7</f>
        <v>30</v>
      </c>
      <c r="M22" s="97">
        <f t="shared" si="3"/>
        <v>723150</v>
      </c>
      <c r="N22" s="97">
        <f t="shared" si="5"/>
        <v>241050</v>
      </c>
      <c r="O22" s="9">
        <f>397100+85000</f>
        <v>482100</v>
      </c>
      <c r="P22" s="152">
        <f t="shared" si="4"/>
        <v>62856</v>
      </c>
      <c r="Q22" s="152">
        <f>R22/4*2</f>
        <v>20952</v>
      </c>
      <c r="R22" s="9">
        <f>34604+7300</f>
        <v>41904</v>
      </c>
      <c r="S22" s="56" t="s">
        <v>113</v>
      </c>
    </row>
    <row r="23" spans="1:19" s="345" customFormat="1" ht="19.5" customHeight="1">
      <c r="A23" s="414">
        <v>10</v>
      </c>
      <c r="B23" s="415" t="s">
        <v>362</v>
      </c>
      <c r="C23" s="416">
        <f t="shared" si="1"/>
        <v>18</v>
      </c>
      <c r="D23" s="415">
        <v>16</v>
      </c>
      <c r="E23" s="14">
        <v>2</v>
      </c>
      <c r="F23" s="420">
        <v>69</v>
      </c>
      <c r="G23" s="97">
        <f t="shared" si="2"/>
        <v>576</v>
      </c>
      <c r="H23" s="418">
        <f>I23/4*2</f>
        <v>192</v>
      </c>
      <c r="I23" s="14">
        <f>333+51</f>
        <v>384</v>
      </c>
      <c r="J23" s="14">
        <f>77+21</f>
        <v>98</v>
      </c>
      <c r="K23" s="14">
        <f>121+20</f>
        <v>141</v>
      </c>
      <c r="L23" s="14">
        <v>135</v>
      </c>
      <c r="M23" s="420">
        <f t="shared" si="3"/>
        <v>672739500</v>
      </c>
      <c r="N23" s="418">
        <f t="shared" si="5"/>
        <v>224246500</v>
      </c>
      <c r="O23" s="282">
        <f>402793000+45700000</f>
        <v>448493000</v>
      </c>
      <c r="P23" s="152">
        <f t="shared" si="4"/>
        <v>44294509.5</v>
      </c>
      <c r="Q23" s="280">
        <f>R23/4*2</f>
        <v>14764836.5</v>
      </c>
      <c r="R23" s="282">
        <f>26889673+2640000</f>
        <v>29529673</v>
      </c>
      <c r="S23" s="56" t="s">
        <v>114</v>
      </c>
    </row>
    <row r="24" spans="1:19" s="345" customFormat="1" ht="19.5" customHeight="1">
      <c r="A24" s="414">
        <v>11</v>
      </c>
      <c r="B24" s="415" t="s">
        <v>363</v>
      </c>
      <c r="C24" s="416">
        <f t="shared" si="1"/>
        <v>20</v>
      </c>
      <c r="D24" s="415">
        <v>19</v>
      </c>
      <c r="E24" s="14">
        <v>1</v>
      </c>
      <c r="F24" s="14">
        <v>29</v>
      </c>
      <c r="G24" s="97">
        <f t="shared" si="2"/>
        <v>1570</v>
      </c>
      <c r="H24" s="14">
        <v>501</v>
      </c>
      <c r="I24" s="421">
        <f>J24+K24+L24</f>
        <v>1069</v>
      </c>
      <c r="J24" s="421">
        <f>153+13</f>
        <v>166</v>
      </c>
      <c r="K24" s="421">
        <f>725+50</f>
        <v>775</v>
      </c>
      <c r="L24" s="421">
        <f>125+3</f>
        <v>128</v>
      </c>
      <c r="M24" s="97">
        <f t="shared" si="3"/>
        <v>207975</v>
      </c>
      <c r="N24" s="97">
        <f t="shared" si="5"/>
        <v>69325</v>
      </c>
      <c r="O24" s="9">
        <v>138650</v>
      </c>
      <c r="P24" s="152">
        <f t="shared" si="4"/>
        <v>16822</v>
      </c>
      <c r="Q24" s="152">
        <v>5607</v>
      </c>
      <c r="R24" s="9">
        <v>11215</v>
      </c>
      <c r="S24" s="345" t="s">
        <v>115</v>
      </c>
    </row>
    <row r="25" spans="1:18" s="345" customFormat="1" ht="19.5" customHeight="1">
      <c r="A25" s="414">
        <v>12</v>
      </c>
      <c r="B25" s="415" t="s">
        <v>364</v>
      </c>
      <c r="C25" s="416">
        <f t="shared" si="1"/>
        <v>15</v>
      </c>
      <c r="D25" s="415">
        <v>14</v>
      </c>
      <c r="E25" s="14">
        <v>1</v>
      </c>
      <c r="F25" s="14">
        <v>29</v>
      </c>
      <c r="G25" s="97">
        <f t="shared" si="2"/>
        <v>2323.5</v>
      </c>
      <c r="H25" s="97">
        <f>I25/4*2</f>
        <v>774.5</v>
      </c>
      <c r="I25" s="14">
        <v>1549</v>
      </c>
      <c r="J25" s="14">
        <v>143</v>
      </c>
      <c r="K25" s="14">
        <v>171</v>
      </c>
      <c r="L25" s="14">
        <v>1166</v>
      </c>
      <c r="M25" s="97">
        <f t="shared" si="3"/>
        <v>970500</v>
      </c>
      <c r="N25" s="97">
        <f t="shared" si="5"/>
        <v>323500</v>
      </c>
      <c r="O25" s="9">
        <v>647000</v>
      </c>
      <c r="P25" s="152">
        <f t="shared" si="4"/>
        <v>30855.600000000002</v>
      </c>
      <c r="Q25" s="152">
        <f>R25/4*2</f>
        <v>10285.2</v>
      </c>
      <c r="R25" s="9">
        <v>20570.4</v>
      </c>
    </row>
    <row r="26" spans="1:18" s="345" customFormat="1" ht="19.5" customHeight="1">
      <c r="A26" s="414">
        <v>13</v>
      </c>
      <c r="B26" s="415" t="s">
        <v>365</v>
      </c>
      <c r="C26" s="416">
        <f t="shared" si="1"/>
        <v>88</v>
      </c>
      <c r="D26" s="415">
        <v>74</v>
      </c>
      <c r="E26" s="14">
        <v>14</v>
      </c>
      <c r="F26" s="14">
        <v>169</v>
      </c>
      <c r="G26" s="97">
        <f t="shared" si="2"/>
        <v>2718</v>
      </c>
      <c r="H26" s="97">
        <f>I26/4*2</f>
        <v>906</v>
      </c>
      <c r="I26" s="14">
        <f>1011+801</f>
        <v>1812</v>
      </c>
      <c r="J26" s="14">
        <f>205+182</f>
        <v>387</v>
      </c>
      <c r="K26" s="14">
        <f>510+120</f>
        <v>630</v>
      </c>
      <c r="L26" s="14">
        <f>601+110</f>
        <v>711</v>
      </c>
      <c r="M26" s="97">
        <f t="shared" si="3"/>
        <v>3757249.5</v>
      </c>
      <c r="N26" s="418">
        <f t="shared" si="5"/>
        <v>1252416.5</v>
      </c>
      <c r="O26" s="9">
        <f>1802833+702000</f>
        <v>2504833</v>
      </c>
      <c r="P26" s="152">
        <f t="shared" si="4"/>
        <v>555409.5</v>
      </c>
      <c r="Q26" s="152">
        <f>R26/4*2</f>
        <v>185136.5</v>
      </c>
      <c r="R26" s="9">
        <f>260111+110162</f>
        <v>370273</v>
      </c>
    </row>
    <row r="27" spans="1:18" s="345" customFormat="1" ht="19.5" customHeight="1">
      <c r="A27" s="414">
        <v>14</v>
      </c>
      <c r="B27" s="415" t="s">
        <v>366</v>
      </c>
      <c r="C27" s="416">
        <f t="shared" si="1"/>
        <v>6</v>
      </c>
      <c r="D27" s="415">
        <v>6</v>
      </c>
      <c r="E27" s="14">
        <v>0</v>
      </c>
      <c r="F27" s="14">
        <v>11</v>
      </c>
      <c r="G27" s="97">
        <f t="shared" si="2"/>
        <v>136</v>
      </c>
      <c r="H27" s="14">
        <v>45</v>
      </c>
      <c r="I27" s="14">
        <v>91</v>
      </c>
      <c r="J27" s="14">
        <v>39</v>
      </c>
      <c r="K27" s="14">
        <v>47</v>
      </c>
      <c r="L27" s="14">
        <v>2</v>
      </c>
      <c r="M27" s="97">
        <f t="shared" si="3"/>
        <v>109005</v>
      </c>
      <c r="N27" s="97">
        <f t="shared" si="5"/>
        <v>36335</v>
      </c>
      <c r="O27" s="9">
        <v>72670</v>
      </c>
      <c r="P27" s="152">
        <f t="shared" si="4"/>
        <v>8193</v>
      </c>
      <c r="Q27" s="152">
        <f>R27/4*2</f>
        <v>2731</v>
      </c>
      <c r="R27" s="9">
        <v>5462</v>
      </c>
    </row>
    <row r="28" spans="1:18" s="345" customFormat="1" ht="19.5" customHeight="1">
      <c r="A28" s="414">
        <v>15</v>
      </c>
      <c r="B28" s="415" t="s">
        <v>367</v>
      </c>
      <c r="C28" s="416">
        <f t="shared" si="1"/>
        <v>60</v>
      </c>
      <c r="D28" s="415">
        <v>42</v>
      </c>
      <c r="E28" s="14">
        <v>18</v>
      </c>
      <c r="F28" s="14">
        <v>144</v>
      </c>
      <c r="G28" s="97">
        <f t="shared" si="2"/>
        <v>595.5</v>
      </c>
      <c r="H28" s="97">
        <f>I28/4*2</f>
        <v>198.5</v>
      </c>
      <c r="I28" s="14">
        <v>397</v>
      </c>
      <c r="J28" s="14">
        <v>131</v>
      </c>
      <c r="K28" s="14">
        <v>117</v>
      </c>
      <c r="L28" s="14">
        <v>128</v>
      </c>
      <c r="M28" s="97">
        <f t="shared" si="3"/>
        <v>1529604</v>
      </c>
      <c r="N28" s="97">
        <f t="shared" si="5"/>
        <v>509868</v>
      </c>
      <c r="O28" s="9">
        <v>1019736</v>
      </c>
      <c r="P28" s="152">
        <f t="shared" si="4"/>
        <v>130326</v>
      </c>
      <c r="Q28" s="152">
        <f>R28/4*2</f>
        <v>43442</v>
      </c>
      <c r="R28" s="9">
        <v>86884</v>
      </c>
    </row>
    <row r="29" spans="1:18" s="345" customFormat="1" ht="19.5" customHeight="1">
      <c r="A29" s="414">
        <v>16</v>
      </c>
      <c r="B29" s="415" t="s">
        <v>368</v>
      </c>
      <c r="C29" s="416">
        <f t="shared" si="1"/>
        <v>21</v>
      </c>
      <c r="D29" s="415">
        <v>21</v>
      </c>
      <c r="E29" s="14">
        <v>0</v>
      </c>
      <c r="F29" s="14">
        <v>42</v>
      </c>
      <c r="G29" s="97">
        <f t="shared" si="2"/>
        <v>1540</v>
      </c>
      <c r="H29" s="14">
        <v>513</v>
      </c>
      <c r="I29" s="14">
        <v>1027</v>
      </c>
      <c r="J29" s="14">
        <v>287</v>
      </c>
      <c r="K29" s="14">
        <v>517</v>
      </c>
      <c r="L29" s="14">
        <v>203</v>
      </c>
      <c r="M29" s="97">
        <f t="shared" si="3"/>
        <v>925792.5</v>
      </c>
      <c r="N29" s="97">
        <f t="shared" si="5"/>
        <v>308597.5</v>
      </c>
      <c r="O29" s="9">
        <v>617195</v>
      </c>
      <c r="P29" s="152">
        <f t="shared" si="4"/>
        <v>92883</v>
      </c>
      <c r="Q29" s="152">
        <f>R29/4*2</f>
        <v>30961</v>
      </c>
      <c r="R29" s="9">
        <v>61922</v>
      </c>
    </row>
    <row r="30" spans="1:18" s="345" customFormat="1" ht="19.5" customHeight="1">
      <c r="A30" s="414">
        <v>17</v>
      </c>
      <c r="B30" s="415" t="s">
        <v>369</v>
      </c>
      <c r="C30" s="416">
        <f t="shared" si="1"/>
        <v>6</v>
      </c>
      <c r="D30" s="415">
        <v>5</v>
      </c>
      <c r="E30" s="14">
        <v>1</v>
      </c>
      <c r="F30" s="14">
        <v>17</v>
      </c>
      <c r="G30" s="97">
        <f t="shared" si="2"/>
        <v>734</v>
      </c>
      <c r="H30" s="14">
        <v>235</v>
      </c>
      <c r="I30" s="14">
        <f>470+29</f>
        <v>499</v>
      </c>
      <c r="J30" s="14">
        <f>74+15</f>
        <v>89</v>
      </c>
      <c r="K30" s="14">
        <f>302+7</f>
        <v>309</v>
      </c>
      <c r="L30" s="14">
        <f>88+6</f>
        <v>94</v>
      </c>
      <c r="M30" s="97">
        <f t="shared" si="3"/>
        <v>476180</v>
      </c>
      <c r="N30" s="14">
        <v>158500</v>
      </c>
      <c r="O30" s="9">
        <f>283760+33920</f>
        <v>317680</v>
      </c>
      <c r="P30" s="152">
        <f t="shared" si="4"/>
        <v>20000</v>
      </c>
      <c r="Q30" s="9">
        <v>6700</v>
      </c>
      <c r="R30" s="9">
        <f>9100+4200</f>
        <v>13300</v>
      </c>
    </row>
    <row r="31" spans="1:19" s="345" customFormat="1" ht="19.5" customHeight="1">
      <c r="A31" s="414">
        <v>18</v>
      </c>
      <c r="B31" s="415" t="s">
        <v>370</v>
      </c>
      <c r="C31" s="416">
        <f t="shared" si="1"/>
        <v>3</v>
      </c>
      <c r="D31" s="415">
        <v>2</v>
      </c>
      <c r="E31" s="14">
        <v>1</v>
      </c>
      <c r="F31" s="14">
        <v>11</v>
      </c>
      <c r="G31" s="97">
        <f t="shared" si="2"/>
        <v>139</v>
      </c>
      <c r="H31" s="14">
        <v>46</v>
      </c>
      <c r="I31" s="14">
        <v>93</v>
      </c>
      <c r="J31" s="14">
        <v>53</v>
      </c>
      <c r="K31" s="14">
        <v>21</v>
      </c>
      <c r="L31" s="14">
        <v>16</v>
      </c>
      <c r="M31" s="420">
        <f t="shared" si="3"/>
        <v>119400000</v>
      </c>
      <c r="N31" s="420">
        <f>O31/4*2</f>
        <v>39800000</v>
      </c>
      <c r="O31" s="282">
        <v>79600000</v>
      </c>
      <c r="P31" s="152">
        <f t="shared" si="4"/>
        <v>0</v>
      </c>
      <c r="Q31" s="152">
        <f>R31/4*2</f>
        <v>0</v>
      </c>
      <c r="R31" s="282">
        <v>0</v>
      </c>
      <c r="S31" s="345" t="s">
        <v>116</v>
      </c>
    </row>
    <row r="32" spans="1:18" s="345" customFormat="1" ht="19.5" customHeight="1">
      <c r="A32" s="414">
        <v>19</v>
      </c>
      <c r="B32" s="422" t="s">
        <v>371</v>
      </c>
      <c r="C32" s="416">
        <f t="shared" si="1"/>
        <v>103</v>
      </c>
      <c r="D32" s="415">
        <v>88</v>
      </c>
      <c r="E32" s="14">
        <v>15</v>
      </c>
      <c r="F32" s="14">
        <v>240</v>
      </c>
      <c r="G32" s="97">
        <f t="shared" si="2"/>
        <v>3073</v>
      </c>
      <c r="H32" s="14">
        <v>386</v>
      </c>
      <c r="I32" s="14">
        <v>2687</v>
      </c>
      <c r="J32" s="14">
        <v>388</v>
      </c>
      <c r="K32" s="14">
        <v>890</v>
      </c>
      <c r="L32" s="14">
        <v>1106</v>
      </c>
      <c r="M32" s="97">
        <f t="shared" si="3"/>
        <v>7204035</v>
      </c>
      <c r="N32" s="14">
        <v>1631064</v>
      </c>
      <c r="O32" s="9">
        <v>5572971</v>
      </c>
      <c r="P32" s="152">
        <f t="shared" si="4"/>
        <v>576438</v>
      </c>
      <c r="Q32" s="9">
        <v>154000</v>
      </c>
      <c r="R32" s="9">
        <v>422438</v>
      </c>
    </row>
    <row r="33" spans="1:18" s="345" customFormat="1" ht="19.5" customHeight="1">
      <c r="A33" s="414">
        <v>20</v>
      </c>
      <c r="B33" s="422" t="s">
        <v>372</v>
      </c>
      <c r="C33" s="416">
        <f t="shared" si="1"/>
        <v>21</v>
      </c>
      <c r="D33" s="415">
        <v>20</v>
      </c>
      <c r="E33" s="14">
        <v>1</v>
      </c>
      <c r="F33" s="14">
        <v>40</v>
      </c>
      <c r="G33" s="97">
        <f t="shared" si="2"/>
        <v>735</v>
      </c>
      <c r="H33" s="97">
        <f>I33/4*2</f>
        <v>245</v>
      </c>
      <c r="I33" s="14">
        <v>490</v>
      </c>
      <c r="J33" s="14">
        <v>156</v>
      </c>
      <c r="K33" s="14">
        <v>271</v>
      </c>
      <c r="L33" s="14">
        <v>62</v>
      </c>
      <c r="M33" s="97">
        <f t="shared" si="3"/>
        <v>599972</v>
      </c>
      <c r="N33" s="14">
        <v>26112</v>
      </c>
      <c r="O33" s="9">
        <v>573860</v>
      </c>
      <c r="P33" s="152">
        <f t="shared" si="4"/>
        <v>78337.5</v>
      </c>
      <c r="Q33" s="280">
        <f>R33/4*2</f>
        <v>26112.5</v>
      </c>
      <c r="R33" s="9">
        <v>52225</v>
      </c>
    </row>
    <row r="34" spans="1:18" s="345" customFormat="1" ht="19.5" customHeight="1">
      <c r="A34" s="414">
        <v>21</v>
      </c>
      <c r="B34" s="422" t="s">
        <v>373</v>
      </c>
      <c r="C34" s="416">
        <f t="shared" si="1"/>
        <v>11</v>
      </c>
      <c r="D34" s="415">
        <v>11</v>
      </c>
      <c r="E34" s="14">
        <v>0</v>
      </c>
      <c r="F34" s="14">
        <v>23</v>
      </c>
      <c r="G34" s="97">
        <f t="shared" si="2"/>
        <v>297</v>
      </c>
      <c r="H34" s="14">
        <v>53</v>
      </c>
      <c r="I34" s="14">
        <v>244</v>
      </c>
      <c r="J34" s="14">
        <v>75</v>
      </c>
      <c r="K34" s="14">
        <v>131</v>
      </c>
      <c r="L34" s="14">
        <v>29</v>
      </c>
      <c r="M34" s="97">
        <f t="shared" si="3"/>
        <v>218606</v>
      </c>
      <c r="N34" s="14">
        <v>50250</v>
      </c>
      <c r="O34" s="9">
        <v>168356</v>
      </c>
      <c r="P34" s="152">
        <f t="shared" si="4"/>
        <v>14286</v>
      </c>
      <c r="Q34" s="9">
        <v>2000</v>
      </c>
      <c r="R34" s="9">
        <v>12286</v>
      </c>
    </row>
    <row r="35" spans="1:18" s="345" customFormat="1" ht="19.5" customHeight="1">
      <c r="A35" s="414">
        <v>22</v>
      </c>
      <c r="B35" s="422" t="s">
        <v>374</v>
      </c>
      <c r="C35" s="416">
        <f t="shared" si="1"/>
        <v>4</v>
      </c>
      <c r="D35" s="415">
        <v>4</v>
      </c>
      <c r="E35" s="14">
        <v>0</v>
      </c>
      <c r="F35" s="14">
        <v>4</v>
      </c>
      <c r="G35" s="97">
        <f t="shared" si="2"/>
        <v>177</v>
      </c>
      <c r="H35" s="97">
        <f>I35/4*2</f>
        <v>59</v>
      </c>
      <c r="I35" s="14">
        <v>118</v>
      </c>
      <c r="J35" s="14">
        <v>48</v>
      </c>
      <c r="K35" s="14">
        <v>58</v>
      </c>
      <c r="L35" s="14">
        <v>10</v>
      </c>
      <c r="M35" s="97">
        <f t="shared" si="3"/>
        <v>63300</v>
      </c>
      <c r="N35" s="97">
        <f>O35/4*2</f>
        <v>21100</v>
      </c>
      <c r="O35" s="9">
        <v>42200</v>
      </c>
      <c r="P35" s="152">
        <f t="shared" si="4"/>
        <v>5100</v>
      </c>
      <c r="Q35" s="152">
        <f>R35/4*2</f>
        <v>1700</v>
      </c>
      <c r="R35" s="9">
        <v>3400</v>
      </c>
    </row>
    <row r="36" spans="1:18" s="345" customFormat="1" ht="19.5" customHeight="1">
      <c r="A36" s="414">
        <v>23</v>
      </c>
      <c r="B36" s="422" t="s">
        <v>375</v>
      </c>
      <c r="C36" s="416">
        <f t="shared" si="1"/>
        <v>0</v>
      </c>
      <c r="D36" s="415">
        <v>0</v>
      </c>
      <c r="E36" s="14">
        <v>0</v>
      </c>
      <c r="F36" s="14">
        <v>4</v>
      </c>
      <c r="G36" s="97">
        <f t="shared" si="2"/>
        <v>87</v>
      </c>
      <c r="H36" s="14">
        <v>25</v>
      </c>
      <c r="I36" s="14">
        <v>62</v>
      </c>
      <c r="J36" s="14">
        <v>12</v>
      </c>
      <c r="K36" s="14">
        <v>50</v>
      </c>
      <c r="L36" s="14">
        <v>0</v>
      </c>
      <c r="M36" s="97">
        <f t="shared" si="3"/>
        <v>238500</v>
      </c>
      <c r="N36" s="418">
        <f>O36/4*2</f>
        <v>79500</v>
      </c>
      <c r="O36" s="9">
        <v>159000</v>
      </c>
      <c r="P36" s="152">
        <f t="shared" si="4"/>
        <v>7500</v>
      </c>
      <c r="Q36" s="152">
        <f>R36/4*2</f>
        <v>2500</v>
      </c>
      <c r="R36" s="9">
        <v>5000</v>
      </c>
    </row>
    <row r="37" spans="1:18" s="345" customFormat="1" ht="19.5" customHeight="1">
      <c r="A37" s="414">
        <v>24</v>
      </c>
      <c r="B37" s="422" t="s">
        <v>376</v>
      </c>
      <c r="C37" s="416">
        <f t="shared" si="1"/>
        <v>880</v>
      </c>
      <c r="D37" s="415">
        <v>442</v>
      </c>
      <c r="E37" s="14">
        <v>438</v>
      </c>
      <c r="F37" s="14">
        <v>2306</v>
      </c>
      <c r="G37" s="97">
        <f t="shared" si="2"/>
        <v>14944.5</v>
      </c>
      <c r="H37" s="97">
        <f>I37/4*2</f>
        <v>4981.5</v>
      </c>
      <c r="I37" s="14">
        <v>9963</v>
      </c>
      <c r="J37" s="14">
        <v>1247</v>
      </c>
      <c r="K37" s="14">
        <v>5431</v>
      </c>
      <c r="L37" s="14">
        <v>2431</v>
      </c>
      <c r="M37" s="97">
        <f t="shared" si="3"/>
        <v>121992459</v>
      </c>
      <c r="N37" s="97">
        <f>O37/4*2</f>
        <v>40664153</v>
      </c>
      <c r="O37" s="9">
        <v>81328306</v>
      </c>
      <c r="P37" s="152">
        <f t="shared" si="4"/>
        <v>12207000</v>
      </c>
      <c r="Q37" s="152">
        <f>R37/4*2</f>
        <v>4069000</v>
      </c>
      <c r="R37" s="9">
        <v>8138000</v>
      </c>
    </row>
    <row r="38" spans="1:18" s="345" customFormat="1" ht="19.5" customHeight="1">
      <c r="A38" s="414">
        <v>25</v>
      </c>
      <c r="B38" s="422" t="s">
        <v>377</v>
      </c>
      <c r="C38" s="416">
        <f t="shared" si="1"/>
        <v>10</v>
      </c>
      <c r="D38" s="415">
        <v>10</v>
      </c>
      <c r="E38" s="14">
        <v>0</v>
      </c>
      <c r="F38" s="14">
        <v>24</v>
      </c>
      <c r="G38" s="97">
        <f t="shared" si="2"/>
        <v>318</v>
      </c>
      <c r="H38" s="97">
        <f>I38/4*2</f>
        <v>106</v>
      </c>
      <c r="I38" s="14">
        <v>212</v>
      </c>
      <c r="J38" s="14">
        <v>41</v>
      </c>
      <c r="K38" s="14">
        <v>113</v>
      </c>
      <c r="L38" s="14">
        <v>28</v>
      </c>
      <c r="M38" s="97">
        <f t="shared" si="3"/>
        <v>515370</v>
      </c>
      <c r="N38" s="97">
        <f>O38/4*2</f>
        <v>171790</v>
      </c>
      <c r="O38" s="9">
        <v>343580</v>
      </c>
      <c r="P38" s="152">
        <f t="shared" si="4"/>
        <v>11250</v>
      </c>
      <c r="Q38" s="152">
        <f>R38/4*2</f>
        <v>3750</v>
      </c>
      <c r="R38" s="9">
        <v>7500</v>
      </c>
    </row>
    <row r="39" spans="1:18" s="345" customFormat="1" ht="19.5" customHeight="1">
      <c r="A39" s="414">
        <v>26</v>
      </c>
      <c r="B39" s="422" t="s">
        <v>378</v>
      </c>
      <c r="C39" s="416">
        <f t="shared" si="1"/>
        <v>16</v>
      </c>
      <c r="D39" s="415">
        <v>15</v>
      </c>
      <c r="E39" s="14">
        <v>1</v>
      </c>
      <c r="F39" s="14">
        <v>31</v>
      </c>
      <c r="G39" s="97">
        <f t="shared" si="2"/>
        <v>528</v>
      </c>
      <c r="H39" s="14">
        <v>122</v>
      </c>
      <c r="I39" s="14">
        <f>393+13</f>
        <v>406</v>
      </c>
      <c r="J39" s="14">
        <f>137+7</f>
        <v>144</v>
      </c>
      <c r="K39" s="14">
        <f>71+3</f>
        <v>74</v>
      </c>
      <c r="L39" s="14">
        <f>155+3</f>
        <v>158</v>
      </c>
      <c r="M39" s="97">
        <f t="shared" si="3"/>
        <v>1076603</v>
      </c>
      <c r="N39" s="14">
        <v>265100</v>
      </c>
      <c r="O39" s="9">
        <f>791503+20000</f>
        <v>811503</v>
      </c>
      <c r="P39" s="152">
        <f t="shared" si="4"/>
        <v>127757</v>
      </c>
      <c r="Q39" s="9">
        <v>35700</v>
      </c>
      <c r="R39" s="9">
        <f>92057</f>
        <v>92057</v>
      </c>
    </row>
    <row r="40" spans="1:18" s="345" customFormat="1" ht="19.5" customHeight="1">
      <c r="A40" s="414">
        <v>27</v>
      </c>
      <c r="B40" s="422" t="s">
        <v>379</v>
      </c>
      <c r="C40" s="416">
        <f t="shared" si="1"/>
        <v>47</v>
      </c>
      <c r="D40" s="415">
        <v>28</v>
      </c>
      <c r="E40" s="14">
        <v>19</v>
      </c>
      <c r="F40" s="14">
        <v>122</v>
      </c>
      <c r="G40" s="97">
        <f t="shared" si="2"/>
        <v>2605.5</v>
      </c>
      <c r="H40" s="97">
        <f aca="true" t="shared" si="6" ref="H40:H49">I40/4*2</f>
        <v>868.5</v>
      </c>
      <c r="I40" s="14">
        <f>950+787</f>
        <v>1737</v>
      </c>
      <c r="J40" s="14">
        <f>151+112</f>
        <v>263</v>
      </c>
      <c r="K40" s="14">
        <f>593+505</f>
        <v>1098</v>
      </c>
      <c r="L40" s="14">
        <f>87+71</f>
        <v>158</v>
      </c>
      <c r="M40" s="97">
        <f t="shared" si="3"/>
        <v>3581362.5</v>
      </c>
      <c r="N40" s="97">
        <f aca="true" t="shared" si="7" ref="N40:N48">O40/4*2</f>
        <v>1193787.5</v>
      </c>
      <c r="O40" s="9">
        <f>1070508+1317067</f>
        <v>2387575</v>
      </c>
      <c r="P40" s="152">
        <f t="shared" si="4"/>
        <v>421437</v>
      </c>
      <c r="Q40" s="152">
        <f aca="true" t="shared" si="8" ref="Q40:Q49">R40/4*2</f>
        <v>140479</v>
      </c>
      <c r="R40" s="9">
        <f>101891+179067</f>
        <v>280958</v>
      </c>
    </row>
    <row r="41" spans="1:18" s="345" customFormat="1" ht="19.5" customHeight="1">
      <c r="A41" s="414">
        <v>28</v>
      </c>
      <c r="B41" s="422" t="s">
        <v>380</v>
      </c>
      <c r="C41" s="416">
        <f t="shared" si="1"/>
        <v>6</v>
      </c>
      <c r="D41" s="415">
        <v>5</v>
      </c>
      <c r="E41" s="14">
        <v>1</v>
      </c>
      <c r="F41" s="14">
        <v>8</v>
      </c>
      <c r="G41" s="97">
        <f t="shared" si="2"/>
        <v>193.5</v>
      </c>
      <c r="H41" s="97">
        <f t="shared" si="6"/>
        <v>64.5</v>
      </c>
      <c r="I41" s="14">
        <f>95+34</f>
        <v>129</v>
      </c>
      <c r="J41" s="14">
        <f>45+2</f>
        <v>47</v>
      </c>
      <c r="K41" s="14">
        <f>34+32</f>
        <v>66</v>
      </c>
      <c r="L41" s="14">
        <f>10</f>
        <v>10</v>
      </c>
      <c r="M41" s="97">
        <f t="shared" si="3"/>
        <v>73500</v>
      </c>
      <c r="N41" s="97">
        <f t="shared" si="7"/>
        <v>24500</v>
      </c>
      <c r="O41" s="9">
        <f>45000+4000</f>
        <v>49000</v>
      </c>
      <c r="P41" s="152">
        <f t="shared" si="4"/>
        <v>16275</v>
      </c>
      <c r="Q41" s="152">
        <f t="shared" si="8"/>
        <v>5425</v>
      </c>
      <c r="R41" s="9">
        <f>9500+1350</f>
        <v>10850</v>
      </c>
    </row>
    <row r="42" spans="1:18" s="345" customFormat="1" ht="19.5" customHeight="1">
      <c r="A42" s="414">
        <v>29</v>
      </c>
      <c r="B42" s="422" t="s">
        <v>381</v>
      </c>
      <c r="C42" s="416">
        <f t="shared" si="1"/>
        <v>6</v>
      </c>
      <c r="D42" s="415">
        <v>6</v>
      </c>
      <c r="E42" s="14">
        <v>0</v>
      </c>
      <c r="F42" s="14">
        <v>7</v>
      </c>
      <c r="G42" s="97">
        <f t="shared" si="2"/>
        <v>45</v>
      </c>
      <c r="H42" s="97">
        <f t="shared" si="6"/>
        <v>15</v>
      </c>
      <c r="I42" s="14">
        <v>30</v>
      </c>
      <c r="J42" s="14">
        <v>29</v>
      </c>
      <c r="K42" s="14">
        <v>0</v>
      </c>
      <c r="L42" s="14">
        <v>0</v>
      </c>
      <c r="M42" s="97">
        <f t="shared" si="3"/>
        <v>24000</v>
      </c>
      <c r="N42" s="97">
        <f t="shared" si="7"/>
        <v>8000</v>
      </c>
      <c r="O42" s="9">
        <v>16000</v>
      </c>
      <c r="P42" s="152">
        <f t="shared" si="4"/>
        <v>9000</v>
      </c>
      <c r="Q42" s="152">
        <f t="shared" si="8"/>
        <v>3000</v>
      </c>
      <c r="R42" s="9">
        <v>6000</v>
      </c>
    </row>
    <row r="43" spans="1:18" s="345" customFormat="1" ht="19.5" customHeight="1">
      <c r="A43" s="414">
        <v>30</v>
      </c>
      <c r="B43" s="422" t="s">
        <v>382</v>
      </c>
      <c r="C43" s="416">
        <f t="shared" si="1"/>
        <v>4</v>
      </c>
      <c r="D43" s="415">
        <v>4</v>
      </c>
      <c r="E43" s="14">
        <v>0</v>
      </c>
      <c r="F43" s="14">
        <v>21</v>
      </c>
      <c r="G43" s="97">
        <f t="shared" si="2"/>
        <v>280.5</v>
      </c>
      <c r="H43" s="97">
        <f t="shared" si="6"/>
        <v>93.5</v>
      </c>
      <c r="I43" s="14">
        <v>187</v>
      </c>
      <c r="J43" s="14">
        <v>51</v>
      </c>
      <c r="K43" s="14">
        <v>125</v>
      </c>
      <c r="L43" s="14">
        <v>11</v>
      </c>
      <c r="M43" s="97">
        <f t="shared" si="3"/>
        <v>0</v>
      </c>
      <c r="N43" s="97">
        <f t="shared" si="7"/>
        <v>0</v>
      </c>
      <c r="O43" s="9">
        <v>0</v>
      </c>
      <c r="P43" s="152">
        <f t="shared" si="4"/>
        <v>0</v>
      </c>
      <c r="Q43" s="152">
        <f t="shared" si="8"/>
        <v>0</v>
      </c>
      <c r="R43" s="9">
        <v>0</v>
      </c>
    </row>
    <row r="44" spans="1:18" s="345" customFormat="1" ht="19.5" customHeight="1">
      <c r="A44" s="414">
        <v>31</v>
      </c>
      <c r="B44" s="422" t="s">
        <v>383</v>
      </c>
      <c r="C44" s="416">
        <f t="shared" si="1"/>
        <v>26</v>
      </c>
      <c r="D44" s="415">
        <v>24</v>
      </c>
      <c r="E44" s="14">
        <v>2</v>
      </c>
      <c r="F44" s="14">
        <v>58</v>
      </c>
      <c r="G44" s="97">
        <f t="shared" si="2"/>
        <v>532.5</v>
      </c>
      <c r="H44" s="97">
        <f t="shared" si="6"/>
        <v>177.5</v>
      </c>
      <c r="I44" s="14">
        <f>355</f>
        <v>355</v>
      </c>
      <c r="J44" s="14">
        <v>83</v>
      </c>
      <c r="K44" s="14">
        <v>226</v>
      </c>
      <c r="L44" s="14">
        <v>34</v>
      </c>
      <c r="M44" s="97">
        <f t="shared" si="3"/>
        <v>1318027.5</v>
      </c>
      <c r="N44" s="418">
        <f t="shared" si="7"/>
        <v>439342.5</v>
      </c>
      <c r="O44" s="9">
        <v>878685</v>
      </c>
      <c r="P44" s="152">
        <f t="shared" si="4"/>
        <v>111897</v>
      </c>
      <c r="Q44" s="152">
        <f t="shared" si="8"/>
        <v>37299</v>
      </c>
      <c r="R44" s="9">
        <v>74598</v>
      </c>
    </row>
    <row r="45" spans="1:18" s="345" customFormat="1" ht="19.5" customHeight="1">
      <c r="A45" s="414">
        <v>32</v>
      </c>
      <c r="B45" s="422" t="s">
        <v>384</v>
      </c>
      <c r="C45" s="416">
        <f t="shared" si="1"/>
        <v>21</v>
      </c>
      <c r="D45" s="415">
        <v>20</v>
      </c>
      <c r="E45" s="14">
        <v>1</v>
      </c>
      <c r="F45" s="14">
        <v>34</v>
      </c>
      <c r="G45" s="97">
        <f t="shared" si="2"/>
        <v>354</v>
      </c>
      <c r="H45" s="97">
        <f t="shared" si="6"/>
        <v>118</v>
      </c>
      <c r="I45" s="14">
        <v>236</v>
      </c>
      <c r="J45" s="14">
        <v>166</v>
      </c>
      <c r="K45" s="14">
        <v>33</v>
      </c>
      <c r="L45" s="14">
        <v>36</v>
      </c>
      <c r="M45" s="97">
        <f t="shared" si="3"/>
        <v>1015500</v>
      </c>
      <c r="N45" s="97">
        <f t="shared" si="7"/>
        <v>338500</v>
      </c>
      <c r="O45" s="9">
        <v>677000</v>
      </c>
      <c r="P45" s="152">
        <f t="shared" si="4"/>
        <v>86265</v>
      </c>
      <c r="Q45" s="152">
        <f t="shared" si="8"/>
        <v>28755</v>
      </c>
      <c r="R45" s="9">
        <v>57510</v>
      </c>
    </row>
    <row r="46" spans="1:18" s="345" customFormat="1" ht="19.5" customHeight="1">
      <c r="A46" s="414">
        <v>33</v>
      </c>
      <c r="B46" s="422" t="s">
        <v>385</v>
      </c>
      <c r="C46" s="416">
        <f aca="true" t="shared" si="9" ref="C46:C76">D46+E46</f>
        <v>2</v>
      </c>
      <c r="D46" s="415">
        <v>2</v>
      </c>
      <c r="E46" s="14"/>
      <c r="F46" s="14">
        <v>6</v>
      </c>
      <c r="G46" s="97">
        <f aca="true" t="shared" si="10" ref="G46:G76">H46+I46</f>
        <v>180</v>
      </c>
      <c r="H46" s="97">
        <f t="shared" si="6"/>
        <v>60</v>
      </c>
      <c r="I46" s="14">
        <v>120</v>
      </c>
      <c r="J46" s="14">
        <v>60</v>
      </c>
      <c r="K46" s="14">
        <v>35</v>
      </c>
      <c r="L46" s="14">
        <v>25</v>
      </c>
      <c r="M46" s="97">
        <f t="shared" si="3"/>
        <v>76500</v>
      </c>
      <c r="N46" s="97">
        <f t="shared" si="7"/>
        <v>25500</v>
      </c>
      <c r="O46" s="9">
        <v>51000</v>
      </c>
      <c r="P46" s="152">
        <f t="shared" si="4"/>
        <v>6684</v>
      </c>
      <c r="Q46" s="152">
        <f t="shared" si="8"/>
        <v>2228</v>
      </c>
      <c r="R46" s="9">
        <v>4456</v>
      </c>
    </row>
    <row r="47" spans="1:18" s="345" customFormat="1" ht="19.5" customHeight="1">
      <c r="A47" s="414">
        <v>34</v>
      </c>
      <c r="B47" s="422" t="s">
        <v>386</v>
      </c>
      <c r="C47" s="416">
        <f t="shared" si="9"/>
        <v>2</v>
      </c>
      <c r="D47" s="415">
        <v>2</v>
      </c>
      <c r="E47" s="14"/>
      <c r="F47" s="14">
        <v>3</v>
      </c>
      <c r="G47" s="423">
        <f t="shared" si="10"/>
        <v>0</v>
      </c>
      <c r="H47" s="424">
        <f t="shared" si="6"/>
        <v>0</v>
      </c>
      <c r="I47" s="148">
        <v>0</v>
      </c>
      <c r="J47" s="148">
        <v>0</v>
      </c>
      <c r="K47" s="148">
        <v>0</v>
      </c>
      <c r="L47" s="148">
        <v>0</v>
      </c>
      <c r="M47" s="425">
        <v>0</v>
      </c>
      <c r="N47" s="424">
        <f t="shared" si="7"/>
        <v>0</v>
      </c>
      <c r="O47" s="339">
        <v>0</v>
      </c>
      <c r="P47" s="426">
        <v>0</v>
      </c>
      <c r="Q47" s="424">
        <f t="shared" si="8"/>
        <v>0</v>
      </c>
      <c r="R47" s="339">
        <v>0</v>
      </c>
    </row>
    <row r="48" spans="1:18" s="345" customFormat="1" ht="19.5" customHeight="1">
      <c r="A48" s="414">
        <v>35</v>
      </c>
      <c r="B48" s="422" t="s">
        <v>387</v>
      </c>
      <c r="C48" s="416">
        <f t="shared" si="9"/>
        <v>42</v>
      </c>
      <c r="D48" s="415">
        <v>41</v>
      </c>
      <c r="E48" s="14">
        <v>1</v>
      </c>
      <c r="F48" s="14">
        <v>76</v>
      </c>
      <c r="G48" s="97">
        <f t="shared" si="10"/>
        <v>760.5</v>
      </c>
      <c r="H48" s="97">
        <f t="shared" si="6"/>
        <v>253.5</v>
      </c>
      <c r="I48" s="14">
        <v>507</v>
      </c>
      <c r="J48" s="14">
        <v>174</v>
      </c>
      <c r="K48" s="14">
        <v>167</v>
      </c>
      <c r="L48" s="14">
        <v>137</v>
      </c>
      <c r="M48" s="97">
        <f aca="true" t="shared" si="11" ref="M48:M58">N48+O48</f>
        <v>846724.5</v>
      </c>
      <c r="N48" s="418">
        <f t="shared" si="7"/>
        <v>282241.5</v>
      </c>
      <c r="O48" s="9">
        <v>564483</v>
      </c>
      <c r="P48" s="152">
        <f aca="true" t="shared" si="12" ref="P48:P58">Q48+R48</f>
        <v>119616</v>
      </c>
      <c r="Q48" s="152">
        <f t="shared" si="8"/>
        <v>39872</v>
      </c>
      <c r="R48" s="9">
        <f>78744+1000</f>
        <v>79744</v>
      </c>
    </row>
    <row r="49" spans="1:18" s="345" customFormat="1" ht="19.5" customHeight="1">
      <c r="A49" s="414">
        <v>36</v>
      </c>
      <c r="B49" s="427" t="s">
        <v>388</v>
      </c>
      <c r="C49" s="416">
        <f t="shared" si="9"/>
        <v>8</v>
      </c>
      <c r="D49" s="415">
        <v>8</v>
      </c>
      <c r="E49" s="14">
        <v>0</v>
      </c>
      <c r="F49" s="14">
        <v>18</v>
      </c>
      <c r="G49" s="97">
        <f t="shared" si="10"/>
        <v>126</v>
      </c>
      <c r="H49" s="97">
        <f t="shared" si="6"/>
        <v>42</v>
      </c>
      <c r="I49" s="14">
        <v>84</v>
      </c>
      <c r="J49" s="14">
        <v>59</v>
      </c>
      <c r="K49" s="14">
        <v>21</v>
      </c>
      <c r="L49" s="14">
        <v>4</v>
      </c>
      <c r="M49" s="97">
        <f t="shared" si="11"/>
        <v>108520</v>
      </c>
      <c r="N49" s="14">
        <v>31020</v>
      </c>
      <c r="O49" s="9">
        <v>77500</v>
      </c>
      <c r="P49" s="152">
        <f t="shared" si="12"/>
        <v>1500</v>
      </c>
      <c r="Q49" s="152">
        <f t="shared" si="8"/>
        <v>500</v>
      </c>
      <c r="R49" s="9">
        <v>1000</v>
      </c>
    </row>
    <row r="50" spans="1:19" s="345" customFormat="1" ht="19.5" customHeight="1">
      <c r="A50" s="414">
        <v>37</v>
      </c>
      <c r="B50" s="427" t="s">
        <v>389</v>
      </c>
      <c r="C50" s="416">
        <f t="shared" si="9"/>
        <v>6</v>
      </c>
      <c r="D50" s="415">
        <v>5</v>
      </c>
      <c r="E50" s="14">
        <v>1</v>
      </c>
      <c r="F50" s="14">
        <v>13</v>
      </c>
      <c r="G50" s="97">
        <f t="shared" si="10"/>
        <v>166</v>
      </c>
      <c r="H50" s="14">
        <v>46</v>
      </c>
      <c r="I50" s="14">
        <f>110+10</f>
        <v>120</v>
      </c>
      <c r="J50" s="14">
        <f>65+5</f>
        <v>70</v>
      </c>
      <c r="K50" s="14">
        <f>25</f>
        <v>25</v>
      </c>
      <c r="L50" s="14">
        <f>8+5</f>
        <v>13</v>
      </c>
      <c r="M50" s="97">
        <f t="shared" si="11"/>
        <v>2391000</v>
      </c>
      <c r="N50" s="14">
        <v>2000000</v>
      </c>
      <c r="O50" s="282">
        <v>391000</v>
      </c>
      <c r="P50" s="152">
        <f t="shared" si="12"/>
        <v>10928785</v>
      </c>
      <c r="Q50" s="9">
        <v>9900000</v>
      </c>
      <c r="R50" s="282">
        <f>28785+1000000</f>
        <v>1028785</v>
      </c>
      <c r="S50" s="345" t="s">
        <v>117</v>
      </c>
    </row>
    <row r="51" spans="1:19" s="345" customFormat="1" ht="19.5" customHeight="1">
      <c r="A51" s="414">
        <v>38</v>
      </c>
      <c r="B51" s="427" t="s">
        <v>390</v>
      </c>
      <c r="C51" s="416">
        <f t="shared" si="9"/>
        <v>33</v>
      </c>
      <c r="D51" s="415">
        <v>28</v>
      </c>
      <c r="E51" s="14">
        <v>5</v>
      </c>
      <c r="F51" s="14">
        <v>76</v>
      </c>
      <c r="G51" s="97">
        <f t="shared" si="10"/>
        <v>696</v>
      </c>
      <c r="H51" s="97">
        <f>I51/4*2</f>
        <v>232</v>
      </c>
      <c r="I51" s="421">
        <f>J51+K51+L51+15</f>
        <v>464</v>
      </c>
      <c r="J51" s="421">
        <f>60+12</f>
        <v>72</v>
      </c>
      <c r="K51" s="421">
        <f>272+62</f>
        <v>334</v>
      </c>
      <c r="L51" s="421">
        <f>41+2</f>
        <v>43</v>
      </c>
      <c r="M51" s="97">
        <f t="shared" si="11"/>
        <v>414615</v>
      </c>
      <c r="N51" s="97">
        <f>O51/4*2</f>
        <v>138205</v>
      </c>
      <c r="O51" s="9">
        <f>177310+99100</f>
        <v>276410</v>
      </c>
      <c r="P51" s="152">
        <f t="shared" si="12"/>
        <v>45901.5</v>
      </c>
      <c r="Q51" s="152">
        <f>R51/4*2</f>
        <v>15300.5</v>
      </c>
      <c r="R51" s="9">
        <f>20701+9900</f>
        <v>30601</v>
      </c>
      <c r="S51" s="345" t="s">
        <v>118</v>
      </c>
    </row>
    <row r="52" spans="1:18" s="345" customFormat="1" ht="19.5" customHeight="1">
      <c r="A52" s="414">
        <v>39</v>
      </c>
      <c r="B52" s="427" t="s">
        <v>391</v>
      </c>
      <c r="C52" s="416">
        <f t="shared" si="9"/>
        <v>16</v>
      </c>
      <c r="D52" s="415">
        <v>14</v>
      </c>
      <c r="E52" s="14">
        <v>2</v>
      </c>
      <c r="F52" s="14">
        <v>39</v>
      </c>
      <c r="G52" s="97">
        <f t="shared" si="10"/>
        <v>346.5</v>
      </c>
      <c r="H52" s="97">
        <f>I52/4*2</f>
        <v>115.5</v>
      </c>
      <c r="I52" s="14">
        <f>190+41</f>
        <v>231</v>
      </c>
      <c r="J52" s="14">
        <f>34+4</f>
        <v>38</v>
      </c>
      <c r="K52" s="14">
        <f>124+27</f>
        <v>151</v>
      </c>
      <c r="L52" s="14">
        <f>13+2</f>
        <v>15</v>
      </c>
      <c r="M52" s="97">
        <f t="shared" si="11"/>
        <v>138150</v>
      </c>
      <c r="N52" s="97">
        <f>O52/4*2</f>
        <v>46050</v>
      </c>
      <c r="O52" s="9">
        <f>89214+2886</f>
        <v>92100</v>
      </c>
      <c r="P52" s="152">
        <f t="shared" si="12"/>
        <v>4650</v>
      </c>
      <c r="Q52" s="152">
        <f>R52/4*2</f>
        <v>1550</v>
      </c>
      <c r="R52" s="9">
        <f>2467+633</f>
        <v>3100</v>
      </c>
    </row>
    <row r="53" spans="1:18" s="345" customFormat="1" ht="19.5" customHeight="1">
      <c r="A53" s="414">
        <v>40</v>
      </c>
      <c r="B53" s="427" t="s">
        <v>392</v>
      </c>
      <c r="C53" s="416">
        <f t="shared" si="9"/>
        <v>27</v>
      </c>
      <c r="D53" s="415">
        <v>24</v>
      </c>
      <c r="E53" s="14">
        <v>3</v>
      </c>
      <c r="F53" s="14">
        <v>79</v>
      </c>
      <c r="G53" s="97">
        <f t="shared" si="10"/>
        <v>532</v>
      </c>
      <c r="H53" s="14">
        <v>178</v>
      </c>
      <c r="I53" s="14">
        <f>353+1</f>
        <v>354</v>
      </c>
      <c r="J53" s="14">
        <f>94</f>
        <v>94</v>
      </c>
      <c r="K53" s="14">
        <f>103+1</f>
        <v>104</v>
      </c>
      <c r="L53" s="14">
        <f>135</f>
        <v>135</v>
      </c>
      <c r="M53" s="97">
        <f t="shared" si="11"/>
        <v>325327.5</v>
      </c>
      <c r="N53" s="97">
        <f>O53/4*2</f>
        <v>108442.5</v>
      </c>
      <c r="O53" s="9">
        <f>206885+10000</f>
        <v>216885</v>
      </c>
      <c r="P53" s="152">
        <f t="shared" si="12"/>
        <v>25497</v>
      </c>
      <c r="Q53" s="152">
        <f>R53/4*2</f>
        <v>8499</v>
      </c>
      <c r="R53" s="9">
        <f>15998+1000</f>
        <v>16998</v>
      </c>
    </row>
    <row r="54" spans="1:18" s="345" customFormat="1" ht="19.5" customHeight="1">
      <c r="A54" s="414">
        <v>41</v>
      </c>
      <c r="B54" s="427" t="s">
        <v>393</v>
      </c>
      <c r="C54" s="416">
        <f t="shared" si="9"/>
        <v>11</v>
      </c>
      <c r="D54" s="415">
        <v>11</v>
      </c>
      <c r="E54" s="14">
        <v>0</v>
      </c>
      <c r="F54" s="14">
        <v>25</v>
      </c>
      <c r="G54" s="97">
        <f t="shared" si="10"/>
        <v>217</v>
      </c>
      <c r="H54" s="14">
        <v>70</v>
      </c>
      <c r="I54" s="14">
        <v>147</v>
      </c>
      <c r="J54" s="14">
        <v>48</v>
      </c>
      <c r="K54" s="14">
        <v>47</v>
      </c>
      <c r="L54" s="14">
        <v>34</v>
      </c>
      <c r="M54" s="97">
        <f t="shared" si="11"/>
        <v>149400</v>
      </c>
      <c r="N54" s="418">
        <f>O54/4*2</f>
        <v>49800</v>
      </c>
      <c r="O54" s="9">
        <v>99600</v>
      </c>
      <c r="P54" s="152">
        <f t="shared" si="12"/>
        <v>4509000</v>
      </c>
      <c r="Q54" s="152">
        <v>4500000</v>
      </c>
      <c r="R54" s="9">
        <v>9000</v>
      </c>
    </row>
    <row r="55" spans="1:18" s="345" customFormat="1" ht="19.5" customHeight="1">
      <c r="A55" s="414">
        <v>42</v>
      </c>
      <c r="B55" s="427" t="s">
        <v>394</v>
      </c>
      <c r="C55" s="416">
        <f t="shared" si="9"/>
        <v>12</v>
      </c>
      <c r="D55" s="415">
        <v>11</v>
      </c>
      <c r="E55" s="14">
        <v>1</v>
      </c>
      <c r="F55" s="14">
        <v>19</v>
      </c>
      <c r="G55" s="97">
        <f t="shared" si="10"/>
        <v>280</v>
      </c>
      <c r="H55" s="14">
        <v>94</v>
      </c>
      <c r="I55" s="14">
        <v>186</v>
      </c>
      <c r="J55" s="14">
        <v>64</v>
      </c>
      <c r="K55" s="14">
        <v>104</v>
      </c>
      <c r="L55" s="14">
        <v>8</v>
      </c>
      <c r="M55" s="97">
        <f t="shared" si="11"/>
        <v>174431</v>
      </c>
      <c r="N55" s="14">
        <v>58142</v>
      </c>
      <c r="O55" s="9">
        <v>116289</v>
      </c>
      <c r="P55" s="152">
        <f t="shared" si="12"/>
        <v>26328</v>
      </c>
      <c r="Q55" s="9">
        <v>8776</v>
      </c>
      <c r="R55" s="9">
        <v>17552</v>
      </c>
    </row>
    <row r="56" spans="1:18" s="345" customFormat="1" ht="19.5" customHeight="1">
      <c r="A56" s="414">
        <v>43</v>
      </c>
      <c r="B56" s="427" t="s">
        <v>395</v>
      </c>
      <c r="C56" s="416">
        <f t="shared" si="9"/>
        <v>12</v>
      </c>
      <c r="D56" s="415">
        <v>6</v>
      </c>
      <c r="E56" s="14">
        <v>6</v>
      </c>
      <c r="F56" s="14">
        <v>41</v>
      </c>
      <c r="G56" s="97">
        <f t="shared" si="10"/>
        <v>298</v>
      </c>
      <c r="H56" s="14">
        <v>99</v>
      </c>
      <c r="I56" s="14">
        <f>83+116</f>
        <v>199</v>
      </c>
      <c r="J56" s="14">
        <f>58+87</f>
        <v>145</v>
      </c>
      <c r="K56" s="14">
        <f>18+17</f>
        <v>35</v>
      </c>
      <c r="L56" s="14">
        <f>7+10</f>
        <v>17</v>
      </c>
      <c r="M56" s="97">
        <f t="shared" si="11"/>
        <v>104700</v>
      </c>
      <c r="N56" s="97">
        <f>O56/4*2</f>
        <v>34900</v>
      </c>
      <c r="O56" s="9">
        <f>32000+37800</f>
        <v>69800</v>
      </c>
      <c r="P56" s="152">
        <f t="shared" si="12"/>
        <v>10470</v>
      </c>
      <c r="Q56" s="152">
        <f>R56/4*2</f>
        <v>3490</v>
      </c>
      <c r="R56" s="9">
        <f>3200+3780</f>
        <v>6980</v>
      </c>
    </row>
    <row r="57" spans="1:18" s="345" customFormat="1" ht="19.5" customHeight="1">
      <c r="A57" s="414">
        <v>44</v>
      </c>
      <c r="B57" s="427" t="s">
        <v>396</v>
      </c>
      <c r="C57" s="416">
        <f t="shared" si="9"/>
        <v>8</v>
      </c>
      <c r="D57" s="415">
        <v>8</v>
      </c>
      <c r="E57" s="14">
        <v>0</v>
      </c>
      <c r="F57" s="14">
        <v>16</v>
      </c>
      <c r="G57" s="97">
        <f t="shared" si="10"/>
        <v>181</v>
      </c>
      <c r="H57" s="14">
        <v>21</v>
      </c>
      <c r="I57" s="14">
        <v>160</v>
      </c>
      <c r="J57" s="14">
        <v>88</v>
      </c>
      <c r="K57" s="14">
        <v>30</v>
      </c>
      <c r="L57" s="14">
        <v>41</v>
      </c>
      <c r="M57" s="97">
        <f t="shared" si="11"/>
        <v>460500</v>
      </c>
      <c r="N57" s="97">
        <f>O57/4*2</f>
        <v>153500</v>
      </c>
      <c r="O57" s="9">
        <v>307000</v>
      </c>
      <c r="P57" s="152">
        <f t="shared" si="12"/>
        <v>20701.5</v>
      </c>
      <c r="Q57" s="152">
        <f>R57/4*2</f>
        <v>6900.5</v>
      </c>
      <c r="R57" s="9">
        <v>13801</v>
      </c>
    </row>
    <row r="58" spans="1:18" s="345" customFormat="1" ht="19.5" customHeight="1">
      <c r="A58" s="414">
        <v>45</v>
      </c>
      <c r="B58" s="428" t="s">
        <v>397</v>
      </c>
      <c r="C58" s="416">
        <f t="shared" si="9"/>
        <v>23</v>
      </c>
      <c r="D58" s="415">
        <v>22</v>
      </c>
      <c r="E58" s="14">
        <v>1</v>
      </c>
      <c r="F58" s="14">
        <v>32</v>
      </c>
      <c r="G58" s="97">
        <f t="shared" si="10"/>
        <v>235.5</v>
      </c>
      <c r="H58" s="97">
        <f>I58/4*2</f>
        <v>78.5</v>
      </c>
      <c r="I58" s="14">
        <v>157</v>
      </c>
      <c r="J58" s="14">
        <v>43</v>
      </c>
      <c r="K58" s="14">
        <v>76</v>
      </c>
      <c r="L58" s="14">
        <v>36</v>
      </c>
      <c r="M58" s="97">
        <f t="shared" si="11"/>
        <v>59820</v>
      </c>
      <c r="N58" s="97">
        <f>O58/4*2</f>
        <v>19940</v>
      </c>
      <c r="O58" s="9">
        <v>39880</v>
      </c>
      <c r="P58" s="152">
        <f t="shared" si="12"/>
        <v>8910</v>
      </c>
      <c r="Q58" s="152">
        <f>R58/4*2</f>
        <v>2970</v>
      </c>
      <c r="R58" s="9">
        <v>5940</v>
      </c>
    </row>
    <row r="59" spans="1:19" s="345" customFormat="1" ht="19.5" customHeight="1">
      <c r="A59" s="414">
        <v>46</v>
      </c>
      <c r="B59" s="428" t="s">
        <v>398</v>
      </c>
      <c r="C59" s="416">
        <f t="shared" si="9"/>
        <v>17</v>
      </c>
      <c r="D59" s="415">
        <v>15</v>
      </c>
      <c r="E59" s="14">
        <v>2</v>
      </c>
      <c r="F59" s="14">
        <v>36</v>
      </c>
      <c r="G59" s="97">
        <f t="shared" si="10"/>
        <v>2571</v>
      </c>
      <c r="H59" s="418">
        <f>I59/4*2</f>
        <v>857</v>
      </c>
      <c r="I59" s="14">
        <v>1714</v>
      </c>
      <c r="J59" s="14">
        <v>486</v>
      </c>
      <c r="K59" s="14">
        <f>455+250</f>
        <v>705</v>
      </c>
      <c r="L59" s="14">
        <f>21+2</f>
        <v>23</v>
      </c>
      <c r="M59" s="420"/>
      <c r="N59" s="420"/>
      <c r="O59" s="282"/>
      <c r="P59" s="282"/>
      <c r="Q59" s="282"/>
      <c r="R59" s="282"/>
      <c r="S59" s="345" t="s">
        <v>119</v>
      </c>
    </row>
    <row r="60" spans="1:18" s="345" customFormat="1" ht="19.5" customHeight="1">
      <c r="A60" s="414">
        <v>47</v>
      </c>
      <c r="B60" s="428" t="s">
        <v>399</v>
      </c>
      <c r="C60" s="416">
        <f t="shared" si="9"/>
        <v>13</v>
      </c>
      <c r="D60" s="415">
        <v>13</v>
      </c>
      <c r="E60" s="14">
        <v>0</v>
      </c>
      <c r="F60" s="14">
        <v>27</v>
      </c>
      <c r="G60" s="97">
        <f t="shared" si="10"/>
        <v>2547</v>
      </c>
      <c r="H60" s="97">
        <f>I60/4*2</f>
        <v>849</v>
      </c>
      <c r="I60" s="14">
        <v>1698</v>
      </c>
      <c r="J60" s="14">
        <v>321</v>
      </c>
      <c r="K60" s="14">
        <v>1154</v>
      </c>
      <c r="L60" s="14">
        <v>223</v>
      </c>
      <c r="M60" s="97">
        <f aca="true" t="shared" si="13" ref="M60:M65">N60+O60</f>
        <v>1760512.5</v>
      </c>
      <c r="N60" s="418">
        <f aca="true" t="shared" si="14" ref="N60:N65">O60/4*2</f>
        <v>586837.5</v>
      </c>
      <c r="O60" s="9">
        <v>1173675</v>
      </c>
      <c r="P60" s="152">
        <f aca="true" t="shared" si="15" ref="P60:P65">Q60+R60</f>
        <v>190378.5</v>
      </c>
      <c r="Q60" s="152">
        <f>R60/4*2</f>
        <v>63459.5</v>
      </c>
      <c r="R60" s="9">
        <v>126919</v>
      </c>
    </row>
    <row r="61" spans="1:18" s="345" customFormat="1" ht="19.5" customHeight="1">
      <c r="A61" s="414">
        <v>48</v>
      </c>
      <c r="B61" s="428" t="s">
        <v>400</v>
      </c>
      <c r="C61" s="416">
        <f t="shared" si="9"/>
        <v>23</v>
      </c>
      <c r="D61" s="415">
        <v>14</v>
      </c>
      <c r="E61" s="14">
        <v>9</v>
      </c>
      <c r="F61" s="14">
        <v>53</v>
      </c>
      <c r="G61" s="97">
        <f t="shared" si="10"/>
        <v>690</v>
      </c>
      <c r="H61" s="14">
        <v>223</v>
      </c>
      <c r="I61" s="14">
        <v>467</v>
      </c>
      <c r="J61" s="14">
        <v>158</v>
      </c>
      <c r="K61" s="14">
        <v>191</v>
      </c>
      <c r="L61" s="14">
        <v>75</v>
      </c>
      <c r="M61" s="97">
        <f t="shared" si="13"/>
        <v>3574243.5</v>
      </c>
      <c r="N61" s="97">
        <f t="shared" si="14"/>
        <v>1191414.5</v>
      </c>
      <c r="O61" s="9">
        <v>2382829</v>
      </c>
      <c r="P61" s="152">
        <f t="shared" si="15"/>
        <v>273180</v>
      </c>
      <c r="Q61" s="152">
        <f>R61/4*2</f>
        <v>91060</v>
      </c>
      <c r="R61" s="9">
        <v>182120</v>
      </c>
    </row>
    <row r="62" spans="1:19" s="345" customFormat="1" ht="19.5" customHeight="1">
      <c r="A62" s="414">
        <v>49</v>
      </c>
      <c r="B62" s="428" t="s">
        <v>401</v>
      </c>
      <c r="C62" s="416">
        <f t="shared" si="9"/>
        <v>3</v>
      </c>
      <c r="D62" s="415">
        <v>2</v>
      </c>
      <c r="E62" s="14">
        <v>1</v>
      </c>
      <c r="F62" s="14">
        <v>12</v>
      </c>
      <c r="G62" s="97">
        <f t="shared" si="10"/>
        <v>207</v>
      </c>
      <c r="H62" s="418">
        <f>I62/4*2</f>
        <v>69</v>
      </c>
      <c r="I62" s="14">
        <f>56+82</f>
        <v>138</v>
      </c>
      <c r="J62" s="14">
        <f>23+22</f>
        <v>45</v>
      </c>
      <c r="K62" s="14">
        <f>36</f>
        <v>36</v>
      </c>
      <c r="L62" s="14">
        <f>33+12</f>
        <v>45</v>
      </c>
      <c r="M62" s="97">
        <f t="shared" si="13"/>
        <v>9232500</v>
      </c>
      <c r="N62" s="418">
        <f t="shared" si="14"/>
        <v>3077500</v>
      </c>
      <c r="O62" s="9">
        <f>6030000+125000</f>
        <v>6155000</v>
      </c>
      <c r="P62" s="152">
        <f t="shared" si="15"/>
        <v>18750</v>
      </c>
      <c r="Q62" s="280">
        <f>R62/4*2</f>
        <v>6250</v>
      </c>
      <c r="R62" s="282">
        <f>12500</f>
        <v>12500</v>
      </c>
      <c r="S62" s="345" t="s">
        <v>120</v>
      </c>
    </row>
    <row r="63" spans="1:18" s="345" customFormat="1" ht="19.5" customHeight="1">
      <c r="A63" s="414">
        <v>50</v>
      </c>
      <c r="B63" s="428" t="s">
        <v>402</v>
      </c>
      <c r="C63" s="416">
        <f t="shared" si="9"/>
        <v>24</v>
      </c>
      <c r="D63" s="415">
        <v>23</v>
      </c>
      <c r="E63" s="14">
        <v>1</v>
      </c>
      <c r="F63" s="14">
        <v>28</v>
      </c>
      <c r="G63" s="97">
        <f t="shared" si="10"/>
        <v>1357.5</v>
      </c>
      <c r="H63" s="97">
        <f>I63/4*2</f>
        <v>452.5</v>
      </c>
      <c r="I63" s="14">
        <f>822+83</f>
        <v>905</v>
      </c>
      <c r="J63" s="14">
        <f>359+19</f>
        <v>378</v>
      </c>
      <c r="K63" s="14">
        <f>394+63</f>
        <v>457</v>
      </c>
      <c r="L63" s="14">
        <f>61+1</f>
        <v>62</v>
      </c>
      <c r="M63" s="97">
        <f t="shared" si="13"/>
        <v>1338750</v>
      </c>
      <c r="N63" s="97">
        <f t="shared" si="14"/>
        <v>446250</v>
      </c>
      <c r="O63" s="9">
        <f>844500+48000</f>
        <v>892500</v>
      </c>
      <c r="P63" s="152">
        <f t="shared" si="15"/>
        <v>190499</v>
      </c>
      <c r="Q63" s="152">
        <v>63300</v>
      </c>
      <c r="R63" s="9">
        <f>126199+1000</f>
        <v>127199</v>
      </c>
    </row>
    <row r="64" spans="1:18" s="345" customFormat="1" ht="19.5" customHeight="1">
      <c r="A64" s="414">
        <v>51</v>
      </c>
      <c r="B64" s="427" t="s">
        <v>403</v>
      </c>
      <c r="C64" s="416">
        <f t="shared" si="9"/>
        <v>5</v>
      </c>
      <c r="D64" s="415">
        <v>5</v>
      </c>
      <c r="E64" s="14">
        <v>0</v>
      </c>
      <c r="F64" s="14">
        <v>14</v>
      </c>
      <c r="G64" s="97">
        <f t="shared" si="10"/>
        <v>559.5</v>
      </c>
      <c r="H64" s="97">
        <f>I64/4*2</f>
        <v>186.5</v>
      </c>
      <c r="I64" s="14">
        <v>373</v>
      </c>
      <c r="J64" s="14">
        <v>180</v>
      </c>
      <c r="K64" s="14">
        <v>158</v>
      </c>
      <c r="L64" s="14">
        <v>35</v>
      </c>
      <c r="M64" s="97">
        <f t="shared" si="13"/>
        <v>0</v>
      </c>
      <c r="N64" s="97">
        <f t="shared" si="14"/>
        <v>0</v>
      </c>
      <c r="O64" s="9">
        <v>0</v>
      </c>
      <c r="P64" s="152">
        <f t="shared" si="15"/>
        <v>0</v>
      </c>
      <c r="Q64" s="152">
        <v>0</v>
      </c>
      <c r="R64" s="9">
        <v>0</v>
      </c>
    </row>
    <row r="65" spans="1:18" s="345" customFormat="1" ht="19.5" customHeight="1">
      <c r="A65" s="414">
        <v>52</v>
      </c>
      <c r="B65" s="427" t="s">
        <v>404</v>
      </c>
      <c r="C65" s="416">
        <f t="shared" si="9"/>
        <v>23</v>
      </c>
      <c r="D65" s="415">
        <v>22</v>
      </c>
      <c r="E65" s="14">
        <v>1</v>
      </c>
      <c r="F65" s="14">
        <v>36</v>
      </c>
      <c r="G65" s="97">
        <f t="shared" si="10"/>
        <v>956</v>
      </c>
      <c r="H65" s="14">
        <v>316</v>
      </c>
      <c r="I65" s="14">
        <f>631+9</f>
        <v>640</v>
      </c>
      <c r="J65" s="14">
        <f>144+3</f>
        <v>147</v>
      </c>
      <c r="K65" s="14">
        <f>158+2</f>
        <v>160</v>
      </c>
      <c r="L65" s="14">
        <f>60+4</f>
        <v>64</v>
      </c>
      <c r="M65" s="97">
        <f t="shared" si="13"/>
        <v>471312</v>
      </c>
      <c r="N65" s="418">
        <f t="shared" si="14"/>
        <v>157104</v>
      </c>
      <c r="O65" s="9">
        <f>314208</f>
        <v>314208</v>
      </c>
      <c r="P65" s="152">
        <f t="shared" si="15"/>
        <v>116800</v>
      </c>
      <c r="Q65" s="152">
        <v>38933</v>
      </c>
      <c r="R65" s="9">
        <v>77867</v>
      </c>
    </row>
    <row r="66" spans="1:19" s="345" customFormat="1" ht="19.5" customHeight="1">
      <c r="A66" s="414">
        <v>53</v>
      </c>
      <c r="B66" s="427" t="s">
        <v>405</v>
      </c>
      <c r="C66" s="416">
        <f t="shared" si="9"/>
        <v>14</v>
      </c>
      <c r="D66" s="415">
        <v>13</v>
      </c>
      <c r="E66" s="14">
        <v>1</v>
      </c>
      <c r="F66" s="14">
        <v>54</v>
      </c>
      <c r="G66" s="97">
        <f t="shared" si="10"/>
        <v>564</v>
      </c>
      <c r="H66" s="14">
        <v>180</v>
      </c>
      <c r="I66" s="14">
        <f>368+16</f>
        <v>384</v>
      </c>
      <c r="J66" s="14">
        <f>217</f>
        <v>217</v>
      </c>
      <c r="K66" s="14">
        <f>60+11</f>
        <v>71</v>
      </c>
      <c r="L66" s="14">
        <f>65+4</f>
        <v>69</v>
      </c>
      <c r="M66" s="420"/>
      <c r="N66" s="420"/>
      <c r="O66" s="282"/>
      <c r="P66" s="282"/>
      <c r="Q66" s="282"/>
      <c r="R66" s="282"/>
      <c r="S66" s="345" t="s">
        <v>119</v>
      </c>
    </row>
    <row r="67" spans="1:18" s="345" customFormat="1" ht="19.5" customHeight="1">
      <c r="A67" s="414">
        <v>54</v>
      </c>
      <c r="B67" s="427" t="s">
        <v>406</v>
      </c>
      <c r="C67" s="416">
        <f t="shared" si="9"/>
        <v>19</v>
      </c>
      <c r="D67" s="415">
        <v>19</v>
      </c>
      <c r="E67" s="14">
        <v>0</v>
      </c>
      <c r="F67" s="14">
        <v>30</v>
      </c>
      <c r="G67" s="97">
        <f t="shared" si="10"/>
        <v>133.5</v>
      </c>
      <c r="H67" s="418">
        <f>I67/4*2</f>
        <v>44.5</v>
      </c>
      <c r="I67" s="14">
        <v>89</v>
      </c>
      <c r="J67" s="14">
        <v>53</v>
      </c>
      <c r="K67" s="14">
        <v>24</v>
      </c>
      <c r="L67" s="14">
        <v>8</v>
      </c>
      <c r="M67" s="97">
        <f aca="true" t="shared" si="16" ref="M67:M76">N67+O67</f>
        <v>189000</v>
      </c>
      <c r="N67" s="418">
        <f>O67/4*2</f>
        <v>63000</v>
      </c>
      <c r="O67" s="9">
        <v>126000</v>
      </c>
      <c r="P67" s="152">
        <f aca="true" t="shared" si="17" ref="P67:P76">Q67+R67</f>
        <v>7324.5</v>
      </c>
      <c r="Q67" s="280">
        <f>R67/4*2</f>
        <v>2441.5</v>
      </c>
      <c r="R67" s="9">
        <v>4883</v>
      </c>
    </row>
    <row r="68" spans="1:18" s="345" customFormat="1" ht="19.5" customHeight="1">
      <c r="A68" s="414">
        <v>55</v>
      </c>
      <c r="B68" s="427" t="s">
        <v>407</v>
      </c>
      <c r="C68" s="416">
        <f t="shared" si="9"/>
        <v>12</v>
      </c>
      <c r="D68" s="415">
        <v>10</v>
      </c>
      <c r="E68" s="14">
        <v>2</v>
      </c>
      <c r="F68" s="14">
        <v>31</v>
      </c>
      <c r="G68" s="97">
        <f t="shared" si="10"/>
        <v>618</v>
      </c>
      <c r="H68" s="97">
        <f>I68/4*2</f>
        <v>206</v>
      </c>
      <c r="I68" s="14">
        <f>150+262</f>
        <v>412</v>
      </c>
      <c r="J68" s="14">
        <f>49+32</f>
        <v>81</v>
      </c>
      <c r="K68" s="14">
        <f>61+148</f>
        <v>209</v>
      </c>
      <c r="L68" s="14">
        <f>21+75</f>
        <v>96</v>
      </c>
      <c r="M68" s="97">
        <f t="shared" si="16"/>
        <v>1153635</v>
      </c>
      <c r="N68" s="97">
        <f>O68/4*2</f>
        <v>384545</v>
      </c>
      <c r="O68" s="9">
        <f>82000+687090</f>
        <v>769090</v>
      </c>
      <c r="P68" s="152">
        <f t="shared" si="17"/>
        <v>37320</v>
      </c>
      <c r="Q68" s="152">
        <f>R68/4*2</f>
        <v>12440</v>
      </c>
      <c r="R68" s="9">
        <f>8200+16680</f>
        <v>24880</v>
      </c>
    </row>
    <row r="69" spans="1:18" s="345" customFormat="1" ht="19.5" customHeight="1">
      <c r="A69" s="414">
        <v>56</v>
      </c>
      <c r="B69" s="427" t="s">
        <v>408</v>
      </c>
      <c r="C69" s="416">
        <f t="shared" si="9"/>
        <v>17</v>
      </c>
      <c r="D69" s="415">
        <v>11</v>
      </c>
      <c r="E69" s="14">
        <v>6</v>
      </c>
      <c r="F69" s="14">
        <v>33</v>
      </c>
      <c r="G69" s="97">
        <f t="shared" si="10"/>
        <v>270</v>
      </c>
      <c r="H69" s="97">
        <f>I69/4*2</f>
        <v>90</v>
      </c>
      <c r="I69" s="14">
        <v>180</v>
      </c>
      <c r="J69" s="14">
        <v>50</v>
      </c>
      <c r="K69" s="14">
        <v>72</v>
      </c>
      <c r="L69" s="14">
        <v>49</v>
      </c>
      <c r="M69" s="97">
        <f t="shared" si="16"/>
        <v>515250</v>
      </c>
      <c r="N69" s="97">
        <f>O69/4*2</f>
        <v>171750</v>
      </c>
      <c r="O69" s="9">
        <v>343500</v>
      </c>
      <c r="P69" s="152">
        <f t="shared" si="17"/>
        <v>53664</v>
      </c>
      <c r="Q69" s="152">
        <f>R69/4*2</f>
        <v>17888</v>
      </c>
      <c r="R69" s="9">
        <v>35776</v>
      </c>
    </row>
    <row r="70" spans="1:18" s="345" customFormat="1" ht="19.5" customHeight="1">
      <c r="A70" s="414">
        <v>57</v>
      </c>
      <c r="B70" s="427" t="s">
        <v>409</v>
      </c>
      <c r="C70" s="416">
        <f t="shared" si="9"/>
        <v>31</v>
      </c>
      <c r="D70" s="415">
        <v>31</v>
      </c>
      <c r="E70" s="14">
        <v>0</v>
      </c>
      <c r="F70" s="14">
        <v>56</v>
      </c>
      <c r="G70" s="97">
        <f t="shared" si="10"/>
        <v>1474</v>
      </c>
      <c r="H70" s="97">
        <v>491</v>
      </c>
      <c r="I70" s="14">
        <v>983</v>
      </c>
      <c r="J70" s="14">
        <v>146</v>
      </c>
      <c r="K70" s="14">
        <v>632</v>
      </c>
      <c r="L70" s="14">
        <v>54</v>
      </c>
      <c r="M70" s="97">
        <f t="shared" si="16"/>
        <v>443430</v>
      </c>
      <c r="N70" s="97">
        <f>O70/4*2</f>
        <v>147810</v>
      </c>
      <c r="O70" s="9">
        <v>295620</v>
      </c>
      <c r="P70" s="152">
        <f t="shared" si="17"/>
        <v>23029.5</v>
      </c>
      <c r="Q70" s="152">
        <f>R70/4*2</f>
        <v>7676.5</v>
      </c>
      <c r="R70" s="9">
        <v>15353</v>
      </c>
    </row>
    <row r="71" spans="1:18" s="345" customFormat="1" ht="19.5" customHeight="1">
      <c r="A71" s="414">
        <v>58</v>
      </c>
      <c r="B71" s="427" t="s">
        <v>410</v>
      </c>
      <c r="C71" s="416">
        <f t="shared" si="9"/>
        <v>1332</v>
      </c>
      <c r="D71" s="415">
        <v>844</v>
      </c>
      <c r="E71" s="14">
        <v>488</v>
      </c>
      <c r="F71" s="420">
        <v>961</v>
      </c>
      <c r="G71" s="97">
        <f t="shared" si="10"/>
        <v>10261</v>
      </c>
      <c r="H71" s="14">
        <v>1771</v>
      </c>
      <c r="I71" s="14">
        <v>8490</v>
      </c>
      <c r="J71" s="14">
        <v>993</v>
      </c>
      <c r="K71" s="14">
        <v>4350</v>
      </c>
      <c r="L71" s="14">
        <v>2141</v>
      </c>
      <c r="M71" s="97">
        <f t="shared" si="16"/>
        <v>260023868</v>
      </c>
      <c r="N71" s="97">
        <v>65005967</v>
      </c>
      <c r="O71" s="9">
        <v>195017901</v>
      </c>
      <c r="P71" s="152">
        <f t="shared" si="17"/>
        <v>52205428</v>
      </c>
      <c r="Q71" s="152">
        <v>13051357</v>
      </c>
      <c r="R71" s="9">
        <v>39154071</v>
      </c>
    </row>
    <row r="72" spans="1:18" s="345" customFormat="1" ht="19.5" customHeight="1">
      <c r="A72" s="414">
        <v>59</v>
      </c>
      <c r="B72" s="427" t="s">
        <v>411</v>
      </c>
      <c r="C72" s="416">
        <f t="shared" si="9"/>
        <v>10</v>
      </c>
      <c r="D72" s="415">
        <v>10</v>
      </c>
      <c r="E72" s="14">
        <v>0</v>
      </c>
      <c r="F72" s="14">
        <v>18</v>
      </c>
      <c r="G72" s="97">
        <f t="shared" si="10"/>
        <v>1326</v>
      </c>
      <c r="H72" s="97">
        <f>I72/4*2</f>
        <v>442</v>
      </c>
      <c r="I72" s="14">
        <v>884</v>
      </c>
      <c r="J72" s="14">
        <v>175</v>
      </c>
      <c r="K72" s="14">
        <v>350</v>
      </c>
      <c r="L72" s="14">
        <v>350</v>
      </c>
      <c r="M72" s="97">
        <f t="shared" si="16"/>
        <v>675000</v>
      </c>
      <c r="N72" s="97">
        <f>O72/4*2</f>
        <v>225000</v>
      </c>
      <c r="O72" s="9">
        <v>450000</v>
      </c>
      <c r="P72" s="152">
        <f t="shared" si="17"/>
        <v>66000</v>
      </c>
      <c r="Q72" s="152">
        <f>R72/4*2</f>
        <v>22000</v>
      </c>
      <c r="R72" s="9">
        <v>44000</v>
      </c>
    </row>
    <row r="73" spans="1:18" s="345" customFormat="1" ht="19.5" customHeight="1">
      <c r="A73" s="414">
        <v>60</v>
      </c>
      <c r="B73" s="427" t="s">
        <v>412</v>
      </c>
      <c r="C73" s="416">
        <f t="shared" si="9"/>
        <v>9</v>
      </c>
      <c r="D73" s="415">
        <v>8</v>
      </c>
      <c r="E73" s="14">
        <v>1</v>
      </c>
      <c r="F73" s="14">
        <v>13</v>
      </c>
      <c r="G73" s="97">
        <f t="shared" si="10"/>
        <v>216</v>
      </c>
      <c r="H73" s="97">
        <f>I73/4*2</f>
        <v>72</v>
      </c>
      <c r="I73" s="14">
        <v>144</v>
      </c>
      <c r="J73" s="14">
        <v>25</v>
      </c>
      <c r="K73" s="14">
        <v>70</v>
      </c>
      <c r="L73" s="14">
        <v>26</v>
      </c>
      <c r="M73" s="97">
        <f t="shared" si="16"/>
        <v>46335</v>
      </c>
      <c r="N73" s="418">
        <f>O73/4*2</f>
        <v>15445</v>
      </c>
      <c r="O73" s="9">
        <v>30890</v>
      </c>
      <c r="P73" s="152">
        <f t="shared" si="17"/>
        <v>10500</v>
      </c>
      <c r="Q73" s="152">
        <f>R73/4*2</f>
        <v>3500</v>
      </c>
      <c r="R73" s="9">
        <v>7000</v>
      </c>
    </row>
    <row r="74" spans="1:19" s="345" customFormat="1" ht="19.5" customHeight="1">
      <c r="A74" s="414">
        <v>61</v>
      </c>
      <c r="B74" s="427" t="s">
        <v>413</v>
      </c>
      <c r="C74" s="416">
        <f t="shared" si="9"/>
        <v>32</v>
      </c>
      <c r="D74" s="415">
        <v>30</v>
      </c>
      <c r="E74" s="14">
        <v>2</v>
      </c>
      <c r="F74" s="14">
        <v>47</v>
      </c>
      <c r="G74" s="97">
        <f t="shared" si="10"/>
        <v>366</v>
      </c>
      <c r="H74" s="418">
        <f>I74/4*2</f>
        <v>122</v>
      </c>
      <c r="I74" s="14">
        <v>244</v>
      </c>
      <c r="J74" s="14">
        <v>102</v>
      </c>
      <c r="K74" s="14">
        <v>122</v>
      </c>
      <c r="L74" s="14">
        <v>12</v>
      </c>
      <c r="M74" s="420">
        <f t="shared" si="16"/>
        <v>368100000</v>
      </c>
      <c r="N74" s="418">
        <f>O74/4*2</f>
        <v>122700000</v>
      </c>
      <c r="O74" s="282">
        <v>245400000</v>
      </c>
      <c r="P74" s="282">
        <f t="shared" si="17"/>
        <v>26113515</v>
      </c>
      <c r="Q74" s="280">
        <f>R74/4*2</f>
        <v>8704505</v>
      </c>
      <c r="R74" s="282">
        <v>17409010</v>
      </c>
      <c r="S74" s="345" t="s">
        <v>121</v>
      </c>
    </row>
    <row r="75" spans="1:18" s="345" customFormat="1" ht="19.5" customHeight="1">
      <c r="A75" s="414">
        <v>62</v>
      </c>
      <c r="B75" s="427" t="s">
        <v>414</v>
      </c>
      <c r="C75" s="416">
        <f t="shared" si="9"/>
        <v>11</v>
      </c>
      <c r="D75" s="415">
        <v>7</v>
      </c>
      <c r="E75" s="14">
        <v>4</v>
      </c>
      <c r="F75" s="14">
        <v>20</v>
      </c>
      <c r="G75" s="97">
        <f t="shared" si="10"/>
        <v>716</v>
      </c>
      <c r="H75" s="14">
        <v>216</v>
      </c>
      <c r="I75" s="14">
        <f>432+68</f>
        <v>500</v>
      </c>
      <c r="J75" s="14">
        <f>71+26</f>
        <v>97</v>
      </c>
      <c r="K75" s="14">
        <f>256+41</f>
        <v>297</v>
      </c>
      <c r="L75" s="14">
        <f>91+1</f>
        <v>92</v>
      </c>
      <c r="M75" s="97">
        <f t="shared" si="16"/>
        <v>600930</v>
      </c>
      <c r="N75" s="418">
        <f>O75/4*2</f>
        <v>200310</v>
      </c>
      <c r="O75" s="9">
        <f>320420+80200</f>
        <v>400620</v>
      </c>
      <c r="P75" s="152">
        <f t="shared" si="17"/>
        <v>21600</v>
      </c>
      <c r="Q75" s="9">
        <v>6200</v>
      </c>
      <c r="R75" s="9">
        <f>12400+3000</f>
        <v>15400</v>
      </c>
    </row>
    <row r="76" spans="1:18" s="345" customFormat="1" ht="19.5" customHeight="1">
      <c r="A76" s="414">
        <v>63</v>
      </c>
      <c r="B76" s="427" t="s">
        <v>415</v>
      </c>
      <c r="C76" s="416">
        <f t="shared" si="9"/>
        <v>6</v>
      </c>
      <c r="D76" s="415">
        <v>6</v>
      </c>
      <c r="E76" s="14">
        <v>0</v>
      </c>
      <c r="F76" s="14">
        <v>9</v>
      </c>
      <c r="G76" s="97">
        <f t="shared" si="10"/>
        <v>122</v>
      </c>
      <c r="H76" s="14">
        <v>30</v>
      </c>
      <c r="I76" s="14">
        <v>92</v>
      </c>
      <c r="J76" s="14">
        <v>34</v>
      </c>
      <c r="K76" s="14">
        <v>42</v>
      </c>
      <c r="L76" s="14">
        <v>16</v>
      </c>
      <c r="M76" s="97">
        <f t="shared" si="16"/>
        <v>19890</v>
      </c>
      <c r="N76" s="418">
        <f>O76/4*2</f>
        <v>6630</v>
      </c>
      <c r="O76" s="9">
        <v>13260</v>
      </c>
      <c r="P76" s="152">
        <f t="shared" si="17"/>
        <v>8000</v>
      </c>
      <c r="Q76" s="9">
        <v>2000</v>
      </c>
      <c r="R76" s="9">
        <v>6000</v>
      </c>
    </row>
    <row r="77" spans="1:18" s="532" customFormat="1" ht="32.25" customHeight="1">
      <c r="A77" s="797"/>
      <c r="B77" s="798"/>
      <c r="C77" s="799"/>
      <c r="D77" s="799"/>
      <c r="E77" s="800"/>
      <c r="F77" s="800"/>
      <c r="G77" s="800"/>
      <c r="H77" s="800"/>
      <c r="I77" s="800"/>
      <c r="J77" s="800"/>
      <c r="K77" s="800"/>
      <c r="L77" s="800"/>
      <c r="M77" s="800"/>
      <c r="N77" s="800"/>
      <c r="O77" s="801"/>
      <c r="P77" s="801"/>
      <c r="Q77" s="801"/>
      <c r="R77" s="801"/>
    </row>
    <row r="78" spans="1:18" s="345" customFormat="1" ht="37.5" customHeight="1">
      <c r="A78" s="429" t="s">
        <v>122</v>
      </c>
      <c r="B78" s="1141" t="s">
        <v>123</v>
      </c>
      <c r="C78" s="1141"/>
      <c r="D78" s="1141"/>
      <c r="E78" s="1141"/>
      <c r="F78" s="1141"/>
      <c r="G78" s="1141"/>
      <c r="H78" s="1141"/>
      <c r="I78" s="1141"/>
      <c r="J78" s="1141"/>
      <c r="K78" s="1141"/>
      <c r="L78" s="1141"/>
      <c r="M78" s="1141"/>
      <c r="N78" s="1141"/>
      <c r="O78" s="1141"/>
      <c r="P78" s="1141"/>
      <c r="Q78" s="1141"/>
      <c r="R78" s="1141"/>
    </row>
    <row r="79" spans="1:18" s="345" customFormat="1" ht="33" customHeight="1">
      <c r="A79" s="1145"/>
      <c r="B79" s="1146"/>
      <c r="C79" s="1151" t="s">
        <v>142</v>
      </c>
      <c r="D79" s="1152"/>
      <c r="E79" s="865" t="s">
        <v>143</v>
      </c>
      <c r="F79" s="866"/>
      <c r="G79" s="866"/>
      <c r="H79" s="867"/>
      <c r="I79" s="865" t="s">
        <v>124</v>
      </c>
      <c r="J79" s="866"/>
      <c r="K79" s="866"/>
      <c r="L79" s="867"/>
      <c r="M79" s="1151" t="s">
        <v>140</v>
      </c>
      <c r="N79" s="1157"/>
      <c r="O79" s="1157"/>
      <c r="P79" s="1157"/>
      <c r="Q79" s="1157"/>
      <c r="R79" s="1152"/>
    </row>
    <row r="80" spans="1:18" s="345" customFormat="1" ht="15.75" customHeight="1">
      <c r="A80" s="1147"/>
      <c r="B80" s="1148"/>
      <c r="C80" s="1153"/>
      <c r="D80" s="1154"/>
      <c r="E80" s="905"/>
      <c r="F80" s="1123"/>
      <c r="G80" s="1123"/>
      <c r="H80" s="906"/>
      <c r="I80" s="905"/>
      <c r="J80" s="1123"/>
      <c r="K80" s="1123"/>
      <c r="L80" s="906"/>
      <c r="M80" s="1155"/>
      <c r="N80" s="1158"/>
      <c r="O80" s="1158"/>
      <c r="P80" s="1158"/>
      <c r="Q80" s="1158"/>
      <c r="R80" s="1156"/>
    </row>
    <row r="81" spans="1:18" s="345" customFormat="1" ht="24" customHeight="1">
      <c r="A81" s="1147"/>
      <c r="B81" s="1148"/>
      <c r="C81" s="1153"/>
      <c r="D81" s="1154"/>
      <c r="E81" s="896"/>
      <c r="F81" s="897"/>
      <c r="G81" s="897"/>
      <c r="H81" s="898"/>
      <c r="I81" s="896"/>
      <c r="J81" s="897"/>
      <c r="K81" s="897"/>
      <c r="L81" s="898"/>
      <c r="M81" s="852" t="s">
        <v>125</v>
      </c>
      <c r="N81" s="873"/>
      <c r="O81" s="853"/>
      <c r="P81" s="852" t="s">
        <v>106</v>
      </c>
      <c r="Q81" s="873"/>
      <c r="R81" s="853"/>
    </row>
    <row r="82" spans="1:18" s="345" customFormat="1" ht="22.5" customHeight="1">
      <c r="A82" s="1147"/>
      <c r="B82" s="1148"/>
      <c r="C82" s="1153"/>
      <c r="D82" s="1154"/>
      <c r="E82" s="848" t="s">
        <v>322</v>
      </c>
      <c r="F82" s="848"/>
      <c r="G82" s="852" t="s">
        <v>321</v>
      </c>
      <c r="H82" s="853"/>
      <c r="I82" s="912" t="s">
        <v>511</v>
      </c>
      <c r="J82" s="1142" t="s">
        <v>321</v>
      </c>
      <c r="K82" s="1143"/>
      <c r="L82" s="1144"/>
      <c r="M82" s="854" t="s">
        <v>511</v>
      </c>
      <c r="N82" s="1142" t="s">
        <v>321</v>
      </c>
      <c r="O82" s="1144"/>
      <c r="P82" s="854" t="s">
        <v>511</v>
      </c>
      <c r="Q82" s="1142" t="s">
        <v>321</v>
      </c>
      <c r="R82" s="1144"/>
    </row>
    <row r="83" spans="1:18" s="345" customFormat="1" ht="99" customHeight="1">
      <c r="A83" s="1149"/>
      <c r="B83" s="1150"/>
      <c r="C83" s="1155"/>
      <c r="D83" s="1156"/>
      <c r="E83" s="848"/>
      <c r="F83" s="848"/>
      <c r="G83" s="159" t="s">
        <v>126</v>
      </c>
      <c r="H83" s="156" t="s">
        <v>127</v>
      </c>
      <c r="I83" s="913"/>
      <c r="J83" s="95" t="s">
        <v>512</v>
      </c>
      <c r="K83" s="848" t="s">
        <v>320</v>
      </c>
      <c r="L83" s="848"/>
      <c r="M83" s="855"/>
      <c r="N83" s="156" t="s">
        <v>512</v>
      </c>
      <c r="O83" s="371" t="s">
        <v>320</v>
      </c>
      <c r="P83" s="855"/>
      <c r="Q83" s="156" t="s">
        <v>512</v>
      </c>
      <c r="R83" s="371" t="s">
        <v>320</v>
      </c>
    </row>
    <row r="84" spans="1:18" s="345" customFormat="1" ht="15" customHeight="1">
      <c r="A84" s="1159" t="s">
        <v>323</v>
      </c>
      <c r="B84" s="1159"/>
      <c r="C84" s="1160">
        <v>1</v>
      </c>
      <c r="D84" s="1161"/>
      <c r="E84" s="1162">
        <v>2</v>
      </c>
      <c r="F84" s="1162"/>
      <c r="G84" s="432">
        <v>3</v>
      </c>
      <c r="H84" s="408">
        <v>4</v>
      </c>
      <c r="I84" s="431">
        <v>5</v>
      </c>
      <c r="J84" s="408">
        <v>6</v>
      </c>
      <c r="K84" s="1162">
        <v>7</v>
      </c>
      <c r="L84" s="1162"/>
      <c r="M84" s="410">
        <v>8</v>
      </c>
      <c r="N84" s="431">
        <v>9</v>
      </c>
      <c r="O84" s="408">
        <v>10</v>
      </c>
      <c r="P84" s="433">
        <v>11</v>
      </c>
      <c r="Q84" s="408">
        <v>12</v>
      </c>
      <c r="R84" s="408">
        <v>13</v>
      </c>
    </row>
    <row r="85" spans="1:18" s="345" customFormat="1" ht="32.25" customHeight="1">
      <c r="A85" s="1163" t="s">
        <v>324</v>
      </c>
      <c r="B85" s="1164"/>
      <c r="C85" s="1165">
        <f>SUM(C86:D148)</f>
        <v>0</v>
      </c>
      <c r="D85" s="1166"/>
      <c r="E85" s="1165">
        <f>SUM(E86:F148)</f>
        <v>259</v>
      </c>
      <c r="F85" s="1166"/>
      <c r="G85" s="434">
        <f>SUM(G86:G148)</f>
        <v>116</v>
      </c>
      <c r="H85" s="434">
        <f>SUM(H86:H148)</f>
        <v>143</v>
      </c>
      <c r="I85" s="434">
        <f>SUM(I86:I148)</f>
        <v>4250</v>
      </c>
      <c r="J85" s="434">
        <f>SUM(J86:J148)</f>
        <v>1062</v>
      </c>
      <c r="K85" s="1165">
        <f>SUM(K86:L148)</f>
        <v>3188</v>
      </c>
      <c r="L85" s="1166"/>
      <c r="M85" s="435">
        <f aca="true" t="shared" si="18" ref="M85:R85">SUM(M86:M148)</f>
        <v>691000738</v>
      </c>
      <c r="N85" s="435">
        <f t="shared" si="18"/>
        <v>198159951</v>
      </c>
      <c r="O85" s="435">
        <f t="shared" si="18"/>
        <v>492840787</v>
      </c>
      <c r="P85" s="435">
        <f t="shared" si="18"/>
        <v>106555785</v>
      </c>
      <c r="Q85" s="435">
        <f t="shared" si="18"/>
        <v>29154776</v>
      </c>
      <c r="R85" s="435">
        <f t="shared" si="18"/>
        <v>77401009</v>
      </c>
    </row>
    <row r="86" spans="1:18" s="345" customFormat="1" ht="17.25" customHeight="1">
      <c r="A86" s="59">
        <v>1</v>
      </c>
      <c r="B86" s="69" t="s">
        <v>449</v>
      </c>
      <c r="C86" s="1167"/>
      <c r="D86" s="1168"/>
      <c r="E86" s="1169">
        <f aca="true" t="shared" si="19" ref="E86:E117">G86+H86</f>
        <v>0</v>
      </c>
      <c r="F86" s="1169"/>
      <c r="G86" s="436">
        <v>0</v>
      </c>
      <c r="H86" s="14">
        <v>0</v>
      </c>
      <c r="I86" s="97">
        <f aca="true" t="shared" si="20" ref="I86:I117">J86+K86</f>
        <v>0</v>
      </c>
      <c r="J86" s="14">
        <v>0</v>
      </c>
      <c r="K86" s="1170">
        <v>0</v>
      </c>
      <c r="L86" s="1171"/>
      <c r="M86" s="97">
        <f aca="true" t="shared" si="21" ref="M86:M117">N86+O86</f>
        <v>0</v>
      </c>
      <c r="N86" s="14">
        <v>0</v>
      </c>
      <c r="O86" s="14">
        <v>0</v>
      </c>
      <c r="P86" s="97">
        <f aca="true" t="shared" si="22" ref="P86:P131">Q86+R86</f>
        <v>0</v>
      </c>
      <c r="Q86" s="14">
        <v>0</v>
      </c>
      <c r="R86" s="14">
        <v>0</v>
      </c>
    </row>
    <row r="87" spans="1:18" s="345" customFormat="1" ht="17.25" customHeight="1">
      <c r="A87" s="59">
        <v>2</v>
      </c>
      <c r="B87" s="69" t="s">
        <v>450</v>
      </c>
      <c r="C87" s="1167"/>
      <c r="D87" s="1168"/>
      <c r="E87" s="1169">
        <f t="shared" si="19"/>
        <v>0</v>
      </c>
      <c r="F87" s="1169"/>
      <c r="G87" s="436">
        <v>0</v>
      </c>
      <c r="H87" s="14">
        <v>0</v>
      </c>
      <c r="I87" s="97">
        <f t="shared" si="20"/>
        <v>0</v>
      </c>
      <c r="J87" s="14">
        <v>0</v>
      </c>
      <c r="K87" s="1170">
        <v>0</v>
      </c>
      <c r="L87" s="1171"/>
      <c r="M87" s="97">
        <f t="shared" si="21"/>
        <v>0</v>
      </c>
      <c r="N87" s="14">
        <v>0</v>
      </c>
      <c r="O87" s="14">
        <v>0</v>
      </c>
      <c r="P87" s="97">
        <f t="shared" si="22"/>
        <v>0</v>
      </c>
      <c r="Q87" s="14">
        <v>0</v>
      </c>
      <c r="R87" s="14">
        <v>0</v>
      </c>
    </row>
    <row r="88" spans="1:18" s="345" customFormat="1" ht="17.25" customHeight="1">
      <c r="A88" s="59">
        <v>3</v>
      </c>
      <c r="B88" s="69" t="s">
        <v>451</v>
      </c>
      <c r="C88" s="1167"/>
      <c r="D88" s="1168"/>
      <c r="E88" s="1169">
        <f t="shared" si="19"/>
        <v>0</v>
      </c>
      <c r="F88" s="1169"/>
      <c r="G88" s="436">
        <v>0</v>
      </c>
      <c r="H88" s="14">
        <v>0</v>
      </c>
      <c r="I88" s="97">
        <f t="shared" si="20"/>
        <v>0</v>
      </c>
      <c r="J88" s="14">
        <v>0</v>
      </c>
      <c r="K88" s="1170">
        <v>0</v>
      </c>
      <c r="L88" s="1171"/>
      <c r="M88" s="97">
        <f t="shared" si="21"/>
        <v>0</v>
      </c>
      <c r="N88" s="14">
        <v>0</v>
      </c>
      <c r="O88" s="14">
        <v>0</v>
      </c>
      <c r="P88" s="97">
        <f t="shared" si="22"/>
        <v>0</v>
      </c>
      <c r="Q88" s="14">
        <v>0</v>
      </c>
      <c r="R88" s="14">
        <v>0</v>
      </c>
    </row>
    <row r="89" spans="1:18" s="345" customFormat="1" ht="17.25" customHeight="1">
      <c r="A89" s="59">
        <v>4</v>
      </c>
      <c r="B89" s="69" t="s">
        <v>452</v>
      </c>
      <c r="C89" s="1167"/>
      <c r="D89" s="1168"/>
      <c r="E89" s="1169">
        <f t="shared" si="19"/>
        <v>0</v>
      </c>
      <c r="F89" s="1169"/>
      <c r="G89" s="436"/>
      <c r="H89" s="14"/>
      <c r="I89" s="97">
        <f t="shared" si="20"/>
        <v>0</v>
      </c>
      <c r="J89" s="14"/>
      <c r="K89" s="1170"/>
      <c r="L89" s="1171"/>
      <c r="M89" s="97">
        <f t="shared" si="21"/>
        <v>0</v>
      </c>
      <c r="N89" s="14"/>
      <c r="O89" s="14"/>
      <c r="P89" s="97">
        <f t="shared" si="22"/>
        <v>0</v>
      </c>
      <c r="Q89" s="14"/>
      <c r="R89" s="14"/>
    </row>
    <row r="90" spans="1:18" s="345" customFormat="1" ht="17.25" customHeight="1">
      <c r="A90" s="59">
        <v>5</v>
      </c>
      <c r="B90" s="69" t="s">
        <v>453</v>
      </c>
      <c r="C90" s="1167"/>
      <c r="D90" s="1168"/>
      <c r="E90" s="1169">
        <f t="shared" si="19"/>
        <v>0</v>
      </c>
      <c r="F90" s="1169"/>
      <c r="G90" s="436">
        <v>0</v>
      </c>
      <c r="H90" s="14">
        <v>0</v>
      </c>
      <c r="I90" s="97">
        <f t="shared" si="20"/>
        <v>0</v>
      </c>
      <c r="J90" s="14">
        <v>0</v>
      </c>
      <c r="K90" s="1170">
        <v>0</v>
      </c>
      <c r="L90" s="1171"/>
      <c r="M90" s="97">
        <f t="shared" si="21"/>
        <v>0</v>
      </c>
      <c r="N90" s="14">
        <v>0</v>
      </c>
      <c r="O90" s="14">
        <v>0</v>
      </c>
      <c r="P90" s="97">
        <f t="shared" si="22"/>
        <v>0</v>
      </c>
      <c r="Q90" s="14">
        <v>0</v>
      </c>
      <c r="R90" s="14">
        <v>0</v>
      </c>
    </row>
    <row r="91" spans="1:18" s="345" customFormat="1" ht="17.25" customHeight="1">
      <c r="A91" s="59">
        <v>6</v>
      </c>
      <c r="B91" s="69" t="s">
        <v>454</v>
      </c>
      <c r="C91" s="1167"/>
      <c r="D91" s="1168"/>
      <c r="E91" s="1169">
        <f t="shared" si="19"/>
        <v>0</v>
      </c>
      <c r="F91" s="1169"/>
      <c r="G91" s="437"/>
      <c r="H91" s="438"/>
      <c r="I91" s="97">
        <f t="shared" si="20"/>
        <v>0</v>
      </c>
      <c r="J91" s="438"/>
      <c r="K91" s="1172"/>
      <c r="L91" s="1173"/>
      <c r="M91" s="97">
        <f t="shared" si="21"/>
        <v>0</v>
      </c>
      <c r="N91" s="438"/>
      <c r="O91" s="438"/>
      <c r="P91" s="97">
        <f t="shared" si="22"/>
        <v>0</v>
      </c>
      <c r="Q91" s="438"/>
      <c r="R91" s="438"/>
    </row>
    <row r="92" spans="1:18" s="345" customFormat="1" ht="17.25" customHeight="1">
      <c r="A92" s="59">
        <v>7</v>
      </c>
      <c r="B92" s="69" t="s">
        <v>455</v>
      </c>
      <c r="C92" s="1167"/>
      <c r="D92" s="1168"/>
      <c r="E92" s="1169">
        <f t="shared" si="19"/>
        <v>0</v>
      </c>
      <c r="F92" s="1169"/>
      <c r="G92" s="436">
        <v>0</v>
      </c>
      <c r="H92" s="14">
        <v>0</v>
      </c>
      <c r="I92" s="97">
        <f t="shared" si="20"/>
        <v>0</v>
      </c>
      <c r="J92" s="14">
        <v>0</v>
      </c>
      <c r="K92" s="1170">
        <v>0</v>
      </c>
      <c r="L92" s="1171"/>
      <c r="M92" s="97">
        <f t="shared" si="21"/>
        <v>0</v>
      </c>
      <c r="N92" s="14">
        <v>0</v>
      </c>
      <c r="O92" s="14">
        <v>0</v>
      </c>
      <c r="P92" s="97">
        <f t="shared" si="22"/>
        <v>0</v>
      </c>
      <c r="Q92" s="14">
        <v>0</v>
      </c>
      <c r="R92" s="14">
        <v>0</v>
      </c>
    </row>
    <row r="93" spans="1:18" s="345" customFormat="1" ht="17.25" customHeight="1">
      <c r="A93" s="59">
        <v>8</v>
      </c>
      <c r="B93" s="69" t="s">
        <v>456</v>
      </c>
      <c r="C93" s="1167"/>
      <c r="D93" s="1168"/>
      <c r="E93" s="1169">
        <f t="shared" si="19"/>
        <v>0</v>
      </c>
      <c r="F93" s="1169"/>
      <c r="G93" s="436">
        <v>0</v>
      </c>
      <c r="H93" s="14">
        <v>0</v>
      </c>
      <c r="I93" s="439">
        <f t="shared" si="20"/>
        <v>0</v>
      </c>
      <c r="J93" s="14">
        <v>0</v>
      </c>
      <c r="K93" s="1170">
        <v>0</v>
      </c>
      <c r="L93" s="1171"/>
      <c r="M93" s="97">
        <f t="shared" si="21"/>
        <v>0</v>
      </c>
      <c r="N93" s="14">
        <v>0</v>
      </c>
      <c r="O93" s="14">
        <v>0</v>
      </c>
      <c r="P93" s="97">
        <f t="shared" si="22"/>
        <v>0</v>
      </c>
      <c r="Q93" s="14">
        <v>0</v>
      </c>
      <c r="R93" s="14">
        <v>0</v>
      </c>
    </row>
    <row r="94" spans="1:18" s="345" customFormat="1" ht="17.25" customHeight="1">
      <c r="A94" s="59">
        <v>9</v>
      </c>
      <c r="B94" s="69" t="s">
        <v>457</v>
      </c>
      <c r="C94" s="1167"/>
      <c r="D94" s="1168"/>
      <c r="E94" s="1169">
        <f t="shared" si="19"/>
        <v>0</v>
      </c>
      <c r="F94" s="1169"/>
      <c r="G94" s="437"/>
      <c r="H94" s="438"/>
      <c r="I94" s="97">
        <f t="shared" si="20"/>
        <v>0</v>
      </c>
      <c r="J94" s="438"/>
      <c r="K94" s="1172"/>
      <c r="L94" s="1173"/>
      <c r="M94" s="97">
        <f t="shared" si="21"/>
        <v>0</v>
      </c>
      <c r="N94" s="438"/>
      <c r="O94" s="438"/>
      <c r="P94" s="97">
        <f t="shared" si="22"/>
        <v>0</v>
      </c>
      <c r="Q94" s="438"/>
      <c r="R94" s="438"/>
    </row>
    <row r="95" spans="1:18" s="345" customFormat="1" ht="17.25" customHeight="1">
      <c r="A95" s="59">
        <v>10</v>
      </c>
      <c r="B95" s="69" t="s">
        <v>362</v>
      </c>
      <c r="C95" s="1167"/>
      <c r="D95" s="1168"/>
      <c r="E95" s="1169">
        <f t="shared" si="19"/>
        <v>0</v>
      </c>
      <c r="F95" s="1169"/>
      <c r="G95" s="436">
        <v>0</v>
      </c>
      <c r="H95" s="14">
        <v>0</v>
      </c>
      <c r="I95" s="97">
        <f t="shared" si="20"/>
        <v>0</v>
      </c>
      <c r="J95" s="14">
        <v>0</v>
      </c>
      <c r="K95" s="1170">
        <v>0</v>
      </c>
      <c r="L95" s="1171"/>
      <c r="M95" s="97">
        <f t="shared" si="21"/>
        <v>0</v>
      </c>
      <c r="N95" s="14">
        <v>0</v>
      </c>
      <c r="O95" s="14">
        <v>0</v>
      </c>
      <c r="P95" s="97">
        <f t="shared" si="22"/>
        <v>0</v>
      </c>
      <c r="Q95" s="14">
        <v>0</v>
      </c>
      <c r="R95" s="14">
        <v>0</v>
      </c>
    </row>
    <row r="96" spans="1:18" s="345" customFormat="1" ht="17.25" customHeight="1">
      <c r="A96" s="59">
        <v>11</v>
      </c>
      <c r="B96" s="69" t="s">
        <v>363</v>
      </c>
      <c r="C96" s="1167"/>
      <c r="D96" s="1168"/>
      <c r="E96" s="1169">
        <f t="shared" si="19"/>
        <v>0</v>
      </c>
      <c r="F96" s="1169"/>
      <c r="G96" s="436">
        <v>0</v>
      </c>
      <c r="H96" s="14">
        <v>0</v>
      </c>
      <c r="I96" s="97">
        <f t="shared" si="20"/>
        <v>0</v>
      </c>
      <c r="J96" s="14">
        <v>0</v>
      </c>
      <c r="K96" s="1170">
        <v>0</v>
      </c>
      <c r="L96" s="1171"/>
      <c r="M96" s="97">
        <f t="shared" si="21"/>
        <v>0</v>
      </c>
      <c r="N96" s="14">
        <v>0</v>
      </c>
      <c r="O96" s="14">
        <v>0</v>
      </c>
      <c r="P96" s="97">
        <f t="shared" si="22"/>
        <v>0</v>
      </c>
      <c r="Q96" s="14">
        <v>0</v>
      </c>
      <c r="R96" s="14">
        <v>0</v>
      </c>
    </row>
    <row r="97" spans="1:18" s="345" customFormat="1" ht="17.25" customHeight="1">
      <c r="A97" s="59">
        <v>12</v>
      </c>
      <c r="B97" s="69" t="s">
        <v>364</v>
      </c>
      <c r="C97" s="1167"/>
      <c r="D97" s="1168"/>
      <c r="E97" s="1169">
        <f t="shared" si="19"/>
        <v>0</v>
      </c>
      <c r="F97" s="1169"/>
      <c r="G97" s="436">
        <v>0</v>
      </c>
      <c r="H97" s="14">
        <v>0</v>
      </c>
      <c r="I97" s="97">
        <f t="shared" si="20"/>
        <v>0</v>
      </c>
      <c r="J97" s="14">
        <v>0</v>
      </c>
      <c r="K97" s="1170">
        <v>0</v>
      </c>
      <c r="L97" s="1171"/>
      <c r="M97" s="97">
        <f t="shared" si="21"/>
        <v>0</v>
      </c>
      <c r="N97" s="14">
        <v>0</v>
      </c>
      <c r="O97" s="14">
        <v>0</v>
      </c>
      <c r="P97" s="97">
        <f t="shared" si="22"/>
        <v>0</v>
      </c>
      <c r="Q97" s="14">
        <v>0</v>
      </c>
      <c r="R97" s="14">
        <v>0</v>
      </c>
    </row>
    <row r="98" spans="1:18" s="345" customFormat="1" ht="17.25" customHeight="1">
      <c r="A98" s="59">
        <v>13</v>
      </c>
      <c r="B98" s="69" t="s">
        <v>365</v>
      </c>
      <c r="C98" s="1167"/>
      <c r="D98" s="1168"/>
      <c r="E98" s="1169">
        <f t="shared" si="19"/>
        <v>0</v>
      </c>
      <c r="F98" s="1169"/>
      <c r="G98" s="436">
        <v>0</v>
      </c>
      <c r="H98" s="14">
        <v>0</v>
      </c>
      <c r="I98" s="97">
        <f t="shared" si="20"/>
        <v>0</v>
      </c>
      <c r="J98" s="14">
        <v>0</v>
      </c>
      <c r="K98" s="1170">
        <v>0</v>
      </c>
      <c r="L98" s="1171"/>
      <c r="M98" s="97">
        <f t="shared" si="21"/>
        <v>0</v>
      </c>
      <c r="N98" s="14">
        <v>0</v>
      </c>
      <c r="O98" s="14">
        <v>0</v>
      </c>
      <c r="P98" s="97">
        <f t="shared" si="22"/>
        <v>0</v>
      </c>
      <c r="Q98" s="14">
        <v>0</v>
      </c>
      <c r="R98" s="14">
        <v>0</v>
      </c>
    </row>
    <row r="99" spans="1:18" s="345" customFormat="1" ht="17.25" customHeight="1">
      <c r="A99" s="59">
        <v>14</v>
      </c>
      <c r="B99" s="69" t="s">
        <v>366</v>
      </c>
      <c r="C99" s="1167"/>
      <c r="D99" s="1168"/>
      <c r="E99" s="1169">
        <f t="shared" si="19"/>
        <v>0</v>
      </c>
      <c r="F99" s="1169"/>
      <c r="G99" s="436">
        <v>0</v>
      </c>
      <c r="H99" s="14">
        <v>0</v>
      </c>
      <c r="I99" s="97">
        <f t="shared" si="20"/>
        <v>0</v>
      </c>
      <c r="J99" s="14">
        <v>0</v>
      </c>
      <c r="K99" s="1170">
        <v>0</v>
      </c>
      <c r="L99" s="1171"/>
      <c r="M99" s="97">
        <f t="shared" si="21"/>
        <v>0</v>
      </c>
      <c r="N99" s="14">
        <v>0</v>
      </c>
      <c r="O99" s="14">
        <v>0</v>
      </c>
      <c r="P99" s="97">
        <f t="shared" si="22"/>
        <v>0</v>
      </c>
      <c r="Q99" s="14">
        <v>0</v>
      </c>
      <c r="R99" s="14">
        <v>0</v>
      </c>
    </row>
    <row r="100" spans="1:18" s="345" customFormat="1" ht="17.25" customHeight="1">
      <c r="A100" s="59">
        <v>15</v>
      </c>
      <c r="B100" s="69" t="s">
        <v>367</v>
      </c>
      <c r="C100" s="1167"/>
      <c r="D100" s="1168"/>
      <c r="E100" s="1169">
        <f t="shared" si="19"/>
        <v>0</v>
      </c>
      <c r="F100" s="1169"/>
      <c r="G100" s="437"/>
      <c r="H100" s="438"/>
      <c r="I100" s="97">
        <f t="shared" si="20"/>
        <v>0</v>
      </c>
      <c r="J100" s="438"/>
      <c r="K100" s="1172"/>
      <c r="L100" s="1173"/>
      <c r="M100" s="97">
        <f t="shared" si="21"/>
        <v>0</v>
      </c>
      <c r="N100" s="438"/>
      <c r="O100" s="438"/>
      <c r="P100" s="97">
        <f t="shared" si="22"/>
        <v>0</v>
      </c>
      <c r="Q100" s="438"/>
      <c r="R100" s="438"/>
    </row>
    <row r="101" spans="1:18" s="345" customFormat="1" ht="17.25" customHeight="1">
      <c r="A101" s="59">
        <v>16</v>
      </c>
      <c r="B101" s="69" t="s">
        <v>368</v>
      </c>
      <c r="C101" s="1167"/>
      <c r="D101" s="1168"/>
      <c r="E101" s="1169">
        <f t="shared" si="19"/>
        <v>0</v>
      </c>
      <c r="F101" s="1169"/>
      <c r="G101" s="436">
        <v>0</v>
      </c>
      <c r="H101" s="14">
        <v>0</v>
      </c>
      <c r="I101" s="97">
        <f t="shared" si="20"/>
        <v>0</v>
      </c>
      <c r="J101" s="14">
        <v>0</v>
      </c>
      <c r="K101" s="1170">
        <v>0</v>
      </c>
      <c r="L101" s="1171"/>
      <c r="M101" s="97">
        <f t="shared" si="21"/>
        <v>0</v>
      </c>
      <c r="N101" s="14">
        <v>0</v>
      </c>
      <c r="O101" s="14">
        <v>0</v>
      </c>
      <c r="P101" s="97">
        <f t="shared" si="22"/>
        <v>0</v>
      </c>
      <c r="Q101" s="14">
        <v>0</v>
      </c>
      <c r="R101" s="14">
        <v>0</v>
      </c>
    </row>
    <row r="102" spans="1:18" s="345" customFormat="1" ht="17.25" customHeight="1">
      <c r="A102" s="59">
        <v>17</v>
      </c>
      <c r="B102" s="69" t="s">
        <v>369</v>
      </c>
      <c r="C102" s="1167"/>
      <c r="D102" s="1168"/>
      <c r="E102" s="1169">
        <f t="shared" si="19"/>
        <v>0</v>
      </c>
      <c r="F102" s="1169"/>
      <c r="G102" s="436">
        <v>0</v>
      </c>
      <c r="H102" s="14">
        <v>0</v>
      </c>
      <c r="I102" s="97">
        <f t="shared" si="20"/>
        <v>0</v>
      </c>
      <c r="J102" s="14">
        <v>0</v>
      </c>
      <c r="K102" s="1170">
        <v>0</v>
      </c>
      <c r="L102" s="1171"/>
      <c r="M102" s="97">
        <f t="shared" si="21"/>
        <v>0</v>
      </c>
      <c r="N102" s="14">
        <v>0</v>
      </c>
      <c r="O102" s="14">
        <v>0</v>
      </c>
      <c r="P102" s="97">
        <f t="shared" si="22"/>
        <v>0</v>
      </c>
      <c r="Q102" s="14">
        <v>0</v>
      </c>
      <c r="R102" s="14">
        <v>0</v>
      </c>
    </row>
    <row r="103" spans="1:18" s="345" customFormat="1" ht="17.25" customHeight="1">
      <c r="A103" s="59">
        <v>18</v>
      </c>
      <c r="B103" s="69" t="s">
        <v>370</v>
      </c>
      <c r="C103" s="1167"/>
      <c r="D103" s="1168"/>
      <c r="E103" s="1169">
        <f t="shared" si="19"/>
        <v>0</v>
      </c>
      <c r="F103" s="1169"/>
      <c r="G103" s="436">
        <v>0</v>
      </c>
      <c r="H103" s="14">
        <v>0</v>
      </c>
      <c r="I103" s="97">
        <f t="shared" si="20"/>
        <v>0</v>
      </c>
      <c r="J103" s="14">
        <v>0</v>
      </c>
      <c r="K103" s="1170">
        <v>0</v>
      </c>
      <c r="L103" s="1171"/>
      <c r="M103" s="97">
        <f t="shared" si="21"/>
        <v>0</v>
      </c>
      <c r="N103" s="14">
        <v>0</v>
      </c>
      <c r="O103" s="14">
        <v>0</v>
      </c>
      <c r="P103" s="97">
        <f t="shared" si="22"/>
        <v>0</v>
      </c>
      <c r="Q103" s="14">
        <v>0</v>
      </c>
      <c r="R103" s="14">
        <v>0</v>
      </c>
    </row>
    <row r="104" spans="1:18" s="345" customFormat="1" ht="17.25" customHeight="1">
      <c r="A104" s="59">
        <v>19</v>
      </c>
      <c r="B104" s="70" t="s">
        <v>371</v>
      </c>
      <c r="C104" s="1167"/>
      <c r="D104" s="1168"/>
      <c r="E104" s="1169">
        <f t="shared" si="19"/>
        <v>0</v>
      </c>
      <c r="F104" s="1169"/>
      <c r="G104" s="436">
        <v>0</v>
      </c>
      <c r="H104" s="14">
        <v>0</v>
      </c>
      <c r="I104" s="97">
        <f t="shared" si="20"/>
        <v>0</v>
      </c>
      <c r="J104" s="14">
        <v>0</v>
      </c>
      <c r="K104" s="1170">
        <v>0</v>
      </c>
      <c r="L104" s="1171"/>
      <c r="M104" s="97">
        <f t="shared" si="21"/>
        <v>0</v>
      </c>
      <c r="N104" s="14">
        <v>0</v>
      </c>
      <c r="O104" s="14">
        <v>0</v>
      </c>
      <c r="P104" s="97">
        <f t="shared" si="22"/>
        <v>0</v>
      </c>
      <c r="Q104" s="14">
        <v>0</v>
      </c>
      <c r="R104" s="14">
        <v>0</v>
      </c>
    </row>
    <row r="105" spans="1:18" s="345" customFormat="1" ht="17.25" customHeight="1">
      <c r="A105" s="59">
        <v>20</v>
      </c>
      <c r="B105" s="70" t="s">
        <v>372</v>
      </c>
      <c r="C105" s="1167"/>
      <c r="D105" s="1168"/>
      <c r="E105" s="1169">
        <f t="shared" si="19"/>
        <v>0</v>
      </c>
      <c r="F105" s="1169"/>
      <c r="G105" s="436">
        <v>0</v>
      </c>
      <c r="H105" s="14">
        <v>0</v>
      </c>
      <c r="I105" s="97">
        <f t="shared" si="20"/>
        <v>0</v>
      </c>
      <c r="J105" s="14">
        <v>0</v>
      </c>
      <c r="K105" s="1170">
        <v>0</v>
      </c>
      <c r="L105" s="1171"/>
      <c r="M105" s="97">
        <f t="shared" si="21"/>
        <v>0</v>
      </c>
      <c r="N105" s="14">
        <v>0</v>
      </c>
      <c r="O105" s="14">
        <v>0</v>
      </c>
      <c r="P105" s="97">
        <f t="shared" si="22"/>
        <v>0</v>
      </c>
      <c r="Q105" s="14">
        <v>0</v>
      </c>
      <c r="R105" s="14">
        <v>0</v>
      </c>
    </row>
    <row r="106" spans="1:18" s="345" customFormat="1" ht="17.25" customHeight="1">
      <c r="A106" s="59">
        <v>21</v>
      </c>
      <c r="B106" s="70" t="s">
        <v>373</v>
      </c>
      <c r="C106" s="1167"/>
      <c r="D106" s="1168"/>
      <c r="E106" s="1169">
        <f t="shared" si="19"/>
        <v>0</v>
      </c>
      <c r="F106" s="1169"/>
      <c r="G106" s="436">
        <v>0</v>
      </c>
      <c r="H106" s="14">
        <v>0</v>
      </c>
      <c r="I106" s="97">
        <f t="shared" si="20"/>
        <v>0</v>
      </c>
      <c r="J106" s="14">
        <v>0</v>
      </c>
      <c r="K106" s="1170">
        <v>0</v>
      </c>
      <c r="L106" s="1171"/>
      <c r="M106" s="97">
        <f t="shared" si="21"/>
        <v>0</v>
      </c>
      <c r="N106" s="14">
        <v>0</v>
      </c>
      <c r="O106" s="14">
        <v>0</v>
      </c>
      <c r="P106" s="97">
        <f t="shared" si="22"/>
        <v>0</v>
      </c>
      <c r="Q106" s="14">
        <v>0</v>
      </c>
      <c r="R106" s="14">
        <v>0</v>
      </c>
    </row>
    <row r="107" spans="1:18" s="345" customFormat="1" ht="17.25" customHeight="1">
      <c r="A107" s="59">
        <v>22</v>
      </c>
      <c r="B107" s="70" t="s">
        <v>374</v>
      </c>
      <c r="C107" s="1167"/>
      <c r="D107" s="1168"/>
      <c r="E107" s="1169">
        <f t="shared" si="19"/>
        <v>0</v>
      </c>
      <c r="F107" s="1169"/>
      <c r="G107" s="436">
        <v>0</v>
      </c>
      <c r="H107" s="14">
        <v>0</v>
      </c>
      <c r="I107" s="97">
        <f t="shared" si="20"/>
        <v>0</v>
      </c>
      <c r="J107" s="14">
        <v>0</v>
      </c>
      <c r="K107" s="1170">
        <v>0</v>
      </c>
      <c r="L107" s="1171"/>
      <c r="M107" s="97">
        <f t="shared" si="21"/>
        <v>0</v>
      </c>
      <c r="N107" s="14">
        <v>0</v>
      </c>
      <c r="O107" s="14">
        <v>0</v>
      </c>
      <c r="P107" s="97">
        <f t="shared" si="22"/>
        <v>0</v>
      </c>
      <c r="Q107" s="14">
        <v>0</v>
      </c>
      <c r="R107" s="14">
        <v>0</v>
      </c>
    </row>
    <row r="108" spans="1:18" s="345" customFormat="1" ht="17.25" customHeight="1">
      <c r="A108" s="59">
        <v>23</v>
      </c>
      <c r="B108" s="70" t="s">
        <v>375</v>
      </c>
      <c r="C108" s="1167"/>
      <c r="D108" s="1168"/>
      <c r="E108" s="1169">
        <f t="shared" si="19"/>
        <v>0</v>
      </c>
      <c r="F108" s="1169"/>
      <c r="G108" s="436">
        <v>0</v>
      </c>
      <c r="H108" s="14">
        <v>0</v>
      </c>
      <c r="I108" s="97">
        <f t="shared" si="20"/>
        <v>0</v>
      </c>
      <c r="J108" s="14">
        <v>0</v>
      </c>
      <c r="K108" s="1170">
        <v>0</v>
      </c>
      <c r="L108" s="1171"/>
      <c r="M108" s="97">
        <f t="shared" si="21"/>
        <v>0</v>
      </c>
      <c r="N108" s="14">
        <v>0</v>
      </c>
      <c r="O108" s="14">
        <v>0</v>
      </c>
      <c r="P108" s="97">
        <f t="shared" si="22"/>
        <v>0</v>
      </c>
      <c r="Q108" s="14">
        <v>0</v>
      </c>
      <c r="R108" s="14">
        <v>0</v>
      </c>
    </row>
    <row r="109" spans="1:18" s="345" customFormat="1" ht="17.25" customHeight="1">
      <c r="A109" s="59">
        <v>24</v>
      </c>
      <c r="B109" s="70" t="s">
        <v>376</v>
      </c>
      <c r="C109" s="1167"/>
      <c r="D109" s="1168"/>
      <c r="E109" s="1169">
        <f t="shared" si="19"/>
        <v>84</v>
      </c>
      <c r="F109" s="1169"/>
      <c r="G109" s="436">
        <v>30</v>
      </c>
      <c r="H109" s="14">
        <v>54</v>
      </c>
      <c r="I109" s="97">
        <f t="shared" si="20"/>
        <v>2142</v>
      </c>
      <c r="J109" s="14">
        <v>535</v>
      </c>
      <c r="K109" s="1174">
        <v>1607</v>
      </c>
      <c r="L109" s="1175"/>
      <c r="M109" s="97">
        <f t="shared" si="21"/>
        <v>304917198</v>
      </c>
      <c r="N109" s="14">
        <f>O109/4*2</f>
        <v>101639066</v>
      </c>
      <c r="O109" s="14">
        <v>203278132</v>
      </c>
      <c r="P109" s="97">
        <f t="shared" si="22"/>
        <v>30189960</v>
      </c>
      <c r="Q109" s="14">
        <f>R109/4*2</f>
        <v>10063320</v>
      </c>
      <c r="R109" s="14">
        <v>20126640</v>
      </c>
    </row>
    <row r="110" spans="1:18" s="345" customFormat="1" ht="17.25" customHeight="1">
      <c r="A110" s="59">
        <v>25</v>
      </c>
      <c r="B110" s="70" t="s">
        <v>377</v>
      </c>
      <c r="C110" s="1167"/>
      <c r="D110" s="1168"/>
      <c r="E110" s="1169">
        <f t="shared" si="19"/>
        <v>0</v>
      </c>
      <c r="F110" s="1169"/>
      <c r="G110" s="436">
        <v>0</v>
      </c>
      <c r="H110" s="14">
        <v>0</v>
      </c>
      <c r="I110" s="97">
        <f t="shared" si="20"/>
        <v>0</v>
      </c>
      <c r="J110" s="14">
        <v>0</v>
      </c>
      <c r="K110" s="1170">
        <v>0</v>
      </c>
      <c r="L110" s="1171"/>
      <c r="M110" s="97">
        <f t="shared" si="21"/>
        <v>0</v>
      </c>
      <c r="N110" s="14">
        <v>0</v>
      </c>
      <c r="O110" s="14">
        <v>0</v>
      </c>
      <c r="P110" s="97">
        <f t="shared" si="22"/>
        <v>0</v>
      </c>
      <c r="Q110" s="14">
        <v>0</v>
      </c>
      <c r="R110" s="14">
        <v>0</v>
      </c>
    </row>
    <row r="111" spans="1:18" s="345" customFormat="1" ht="17.25" customHeight="1">
      <c r="A111" s="59">
        <v>26</v>
      </c>
      <c r="B111" s="70" t="s">
        <v>378</v>
      </c>
      <c r="C111" s="1167"/>
      <c r="D111" s="1168"/>
      <c r="E111" s="1169">
        <f t="shared" si="19"/>
        <v>0</v>
      </c>
      <c r="F111" s="1169"/>
      <c r="G111" s="436">
        <v>0</v>
      </c>
      <c r="H111" s="14">
        <v>0</v>
      </c>
      <c r="I111" s="97">
        <f t="shared" si="20"/>
        <v>0</v>
      </c>
      <c r="J111" s="14">
        <v>0</v>
      </c>
      <c r="K111" s="1170">
        <v>0</v>
      </c>
      <c r="L111" s="1171"/>
      <c r="M111" s="97">
        <f t="shared" si="21"/>
        <v>0</v>
      </c>
      <c r="N111" s="14">
        <v>0</v>
      </c>
      <c r="O111" s="14">
        <v>0</v>
      </c>
      <c r="P111" s="97">
        <f t="shared" si="22"/>
        <v>0</v>
      </c>
      <c r="Q111" s="14">
        <v>0</v>
      </c>
      <c r="R111" s="14">
        <v>0</v>
      </c>
    </row>
    <row r="112" spans="1:18" s="345" customFormat="1" ht="17.25" customHeight="1">
      <c r="A112" s="59">
        <v>27</v>
      </c>
      <c r="B112" s="70" t="s">
        <v>379</v>
      </c>
      <c r="C112" s="1167"/>
      <c r="D112" s="1168"/>
      <c r="E112" s="1169">
        <f t="shared" si="19"/>
        <v>0</v>
      </c>
      <c r="F112" s="1169"/>
      <c r="G112" s="436">
        <v>0</v>
      </c>
      <c r="H112" s="14">
        <v>0</v>
      </c>
      <c r="I112" s="97">
        <f t="shared" si="20"/>
        <v>0</v>
      </c>
      <c r="J112" s="14">
        <v>0</v>
      </c>
      <c r="K112" s="1170">
        <v>0</v>
      </c>
      <c r="L112" s="1171"/>
      <c r="M112" s="97">
        <f t="shared" si="21"/>
        <v>0</v>
      </c>
      <c r="N112" s="14">
        <v>0</v>
      </c>
      <c r="O112" s="14">
        <v>0</v>
      </c>
      <c r="P112" s="97">
        <f t="shared" si="22"/>
        <v>0</v>
      </c>
      <c r="Q112" s="14">
        <v>0</v>
      </c>
      <c r="R112" s="14">
        <v>0</v>
      </c>
    </row>
    <row r="113" spans="1:18" s="345" customFormat="1" ht="17.25" customHeight="1">
      <c r="A113" s="59">
        <v>28</v>
      </c>
      <c r="B113" s="70" t="s">
        <v>380</v>
      </c>
      <c r="C113" s="1167"/>
      <c r="D113" s="1168"/>
      <c r="E113" s="1169">
        <f t="shared" si="19"/>
        <v>0</v>
      </c>
      <c r="F113" s="1169"/>
      <c r="G113" s="436">
        <v>0</v>
      </c>
      <c r="H113" s="14">
        <v>0</v>
      </c>
      <c r="I113" s="97">
        <f t="shared" si="20"/>
        <v>0</v>
      </c>
      <c r="J113" s="14">
        <v>0</v>
      </c>
      <c r="K113" s="1170">
        <v>0</v>
      </c>
      <c r="L113" s="1171"/>
      <c r="M113" s="97">
        <f t="shared" si="21"/>
        <v>0</v>
      </c>
      <c r="N113" s="14">
        <v>0</v>
      </c>
      <c r="O113" s="14">
        <v>0</v>
      </c>
      <c r="P113" s="97">
        <f t="shared" si="22"/>
        <v>0</v>
      </c>
      <c r="Q113" s="14">
        <v>0</v>
      </c>
      <c r="R113" s="14">
        <v>0</v>
      </c>
    </row>
    <row r="114" spans="1:18" s="345" customFormat="1" ht="17.25" customHeight="1">
      <c r="A114" s="59">
        <v>29</v>
      </c>
      <c r="B114" s="70" t="s">
        <v>381</v>
      </c>
      <c r="C114" s="1167"/>
      <c r="D114" s="1168"/>
      <c r="E114" s="1169">
        <f t="shared" si="19"/>
        <v>0</v>
      </c>
      <c r="F114" s="1169"/>
      <c r="G114" s="436">
        <v>0</v>
      </c>
      <c r="H114" s="14">
        <v>0</v>
      </c>
      <c r="I114" s="97">
        <f t="shared" si="20"/>
        <v>0</v>
      </c>
      <c r="J114" s="14">
        <v>0</v>
      </c>
      <c r="K114" s="1170">
        <v>0</v>
      </c>
      <c r="L114" s="1171"/>
      <c r="M114" s="97">
        <f t="shared" si="21"/>
        <v>0</v>
      </c>
      <c r="N114" s="14">
        <v>0</v>
      </c>
      <c r="O114" s="14">
        <v>0</v>
      </c>
      <c r="P114" s="97">
        <f t="shared" si="22"/>
        <v>0</v>
      </c>
      <c r="Q114" s="14">
        <v>0</v>
      </c>
      <c r="R114" s="14">
        <v>0</v>
      </c>
    </row>
    <row r="115" spans="1:18" s="345" customFormat="1" ht="17.25" customHeight="1">
      <c r="A115" s="59">
        <v>30</v>
      </c>
      <c r="B115" s="70" t="s">
        <v>382</v>
      </c>
      <c r="C115" s="1167"/>
      <c r="D115" s="1168"/>
      <c r="E115" s="1169">
        <f t="shared" si="19"/>
        <v>0</v>
      </c>
      <c r="F115" s="1169"/>
      <c r="G115" s="436">
        <v>0</v>
      </c>
      <c r="H115" s="14">
        <v>0</v>
      </c>
      <c r="I115" s="97">
        <f t="shared" si="20"/>
        <v>0</v>
      </c>
      <c r="J115" s="14">
        <v>0</v>
      </c>
      <c r="K115" s="1170">
        <v>0</v>
      </c>
      <c r="L115" s="1171"/>
      <c r="M115" s="97">
        <f t="shared" si="21"/>
        <v>0</v>
      </c>
      <c r="N115" s="14">
        <v>0</v>
      </c>
      <c r="O115" s="14">
        <v>0</v>
      </c>
      <c r="P115" s="97">
        <f t="shared" si="22"/>
        <v>0</v>
      </c>
      <c r="Q115" s="14">
        <v>0</v>
      </c>
      <c r="R115" s="14">
        <v>0</v>
      </c>
    </row>
    <row r="116" spans="1:18" s="345" customFormat="1" ht="17.25" customHeight="1">
      <c r="A116" s="59">
        <v>31</v>
      </c>
      <c r="B116" s="70" t="s">
        <v>383</v>
      </c>
      <c r="C116" s="1167"/>
      <c r="D116" s="1168"/>
      <c r="E116" s="1169">
        <f t="shared" si="19"/>
        <v>0</v>
      </c>
      <c r="F116" s="1169"/>
      <c r="G116" s="436">
        <v>0</v>
      </c>
      <c r="H116" s="14">
        <v>0</v>
      </c>
      <c r="I116" s="97">
        <f t="shared" si="20"/>
        <v>0</v>
      </c>
      <c r="J116" s="14">
        <v>0</v>
      </c>
      <c r="K116" s="1170">
        <v>0</v>
      </c>
      <c r="L116" s="1171"/>
      <c r="M116" s="97">
        <f t="shared" si="21"/>
        <v>0</v>
      </c>
      <c r="N116" s="14">
        <v>0</v>
      </c>
      <c r="O116" s="14">
        <v>0</v>
      </c>
      <c r="P116" s="97">
        <f t="shared" si="22"/>
        <v>0</v>
      </c>
      <c r="Q116" s="14">
        <v>0</v>
      </c>
      <c r="R116" s="14">
        <v>0</v>
      </c>
    </row>
    <row r="117" spans="1:18" s="345" customFormat="1" ht="17.25" customHeight="1">
      <c r="A117" s="59">
        <v>32</v>
      </c>
      <c r="B117" s="70" t="s">
        <v>384</v>
      </c>
      <c r="C117" s="1167"/>
      <c r="D117" s="1168"/>
      <c r="E117" s="1169">
        <f t="shared" si="19"/>
        <v>0</v>
      </c>
      <c r="F117" s="1169"/>
      <c r="G117" s="436">
        <v>0</v>
      </c>
      <c r="H117" s="14">
        <v>0</v>
      </c>
      <c r="I117" s="97">
        <f t="shared" si="20"/>
        <v>0</v>
      </c>
      <c r="J117" s="14">
        <v>0</v>
      </c>
      <c r="K117" s="1170">
        <v>0</v>
      </c>
      <c r="L117" s="1171"/>
      <c r="M117" s="97">
        <f t="shared" si="21"/>
        <v>0</v>
      </c>
      <c r="N117" s="14">
        <v>0</v>
      </c>
      <c r="O117" s="14">
        <v>0</v>
      </c>
      <c r="P117" s="97">
        <f t="shared" si="22"/>
        <v>0</v>
      </c>
      <c r="Q117" s="14">
        <v>0</v>
      </c>
      <c r="R117" s="14">
        <v>0</v>
      </c>
    </row>
    <row r="118" spans="1:18" s="345" customFormat="1" ht="17.25" customHeight="1">
      <c r="A118" s="59">
        <v>33</v>
      </c>
      <c r="B118" s="70" t="s">
        <v>385</v>
      </c>
      <c r="C118" s="1167"/>
      <c r="D118" s="1168"/>
      <c r="E118" s="1169">
        <f aca="true" t="shared" si="23" ref="E118:E148">G118+H118</f>
        <v>0</v>
      </c>
      <c r="F118" s="1169"/>
      <c r="G118" s="436">
        <v>0</v>
      </c>
      <c r="H118" s="14">
        <v>0</v>
      </c>
      <c r="I118" s="97">
        <f aca="true" t="shared" si="24" ref="I118:I148">J118+K118</f>
        <v>0</v>
      </c>
      <c r="J118" s="14">
        <v>0</v>
      </c>
      <c r="K118" s="1170">
        <v>0</v>
      </c>
      <c r="L118" s="1171"/>
      <c r="M118" s="97">
        <f aca="true" t="shared" si="25" ref="M118:M148">N118+O118</f>
        <v>0</v>
      </c>
      <c r="N118" s="14">
        <v>0</v>
      </c>
      <c r="O118" s="14">
        <v>0</v>
      </c>
      <c r="P118" s="97">
        <f t="shared" si="22"/>
        <v>0</v>
      </c>
      <c r="Q118" s="14">
        <v>0</v>
      </c>
      <c r="R118" s="14">
        <v>0</v>
      </c>
    </row>
    <row r="119" spans="1:18" s="345" customFormat="1" ht="17.25" customHeight="1">
      <c r="A119" s="59">
        <v>34</v>
      </c>
      <c r="B119" s="70" t="s">
        <v>386</v>
      </c>
      <c r="C119" s="1167"/>
      <c r="D119" s="1168"/>
      <c r="E119" s="1169">
        <f t="shared" si="23"/>
        <v>0</v>
      </c>
      <c r="F119" s="1169"/>
      <c r="G119" s="437"/>
      <c r="H119" s="438"/>
      <c r="I119" s="97">
        <f t="shared" si="24"/>
        <v>0</v>
      </c>
      <c r="J119" s="438"/>
      <c r="K119" s="1172"/>
      <c r="L119" s="1173"/>
      <c r="M119" s="97">
        <f t="shared" si="25"/>
        <v>0</v>
      </c>
      <c r="N119" s="438"/>
      <c r="O119" s="438"/>
      <c r="P119" s="97">
        <f t="shared" si="22"/>
        <v>0</v>
      </c>
      <c r="Q119" s="438"/>
      <c r="R119" s="438"/>
    </row>
    <row r="120" spans="1:18" s="345" customFormat="1" ht="17.25" customHeight="1">
      <c r="A120" s="59">
        <v>35</v>
      </c>
      <c r="B120" s="70" t="s">
        <v>387</v>
      </c>
      <c r="C120" s="1167"/>
      <c r="D120" s="1168"/>
      <c r="E120" s="1169">
        <f t="shared" si="23"/>
        <v>0</v>
      </c>
      <c r="F120" s="1169"/>
      <c r="G120" s="436">
        <v>0</v>
      </c>
      <c r="H120" s="14">
        <v>0</v>
      </c>
      <c r="I120" s="97">
        <f t="shared" si="24"/>
        <v>0</v>
      </c>
      <c r="J120" s="14">
        <v>0</v>
      </c>
      <c r="K120" s="1170">
        <v>0</v>
      </c>
      <c r="L120" s="1171"/>
      <c r="M120" s="97">
        <f t="shared" si="25"/>
        <v>0</v>
      </c>
      <c r="N120" s="14">
        <v>0</v>
      </c>
      <c r="O120" s="14">
        <v>0</v>
      </c>
      <c r="P120" s="97">
        <f t="shared" si="22"/>
        <v>0</v>
      </c>
      <c r="Q120" s="14">
        <v>0</v>
      </c>
      <c r="R120" s="14">
        <v>0</v>
      </c>
    </row>
    <row r="121" spans="1:18" s="345" customFormat="1" ht="17.25" customHeight="1">
      <c r="A121" s="59">
        <v>36</v>
      </c>
      <c r="B121" s="71" t="s">
        <v>388</v>
      </c>
      <c r="C121" s="1167"/>
      <c r="D121" s="1168"/>
      <c r="E121" s="1169">
        <f t="shared" si="23"/>
        <v>0</v>
      </c>
      <c r="F121" s="1169"/>
      <c r="G121" s="436">
        <v>0</v>
      </c>
      <c r="H121" s="14">
        <v>0</v>
      </c>
      <c r="I121" s="97">
        <f t="shared" si="24"/>
        <v>0</v>
      </c>
      <c r="J121" s="14">
        <v>0</v>
      </c>
      <c r="K121" s="1170">
        <v>0</v>
      </c>
      <c r="L121" s="1171"/>
      <c r="M121" s="97">
        <f t="shared" si="25"/>
        <v>0</v>
      </c>
      <c r="N121" s="14">
        <v>0</v>
      </c>
      <c r="O121" s="14">
        <v>0</v>
      </c>
      <c r="P121" s="97">
        <f t="shared" si="22"/>
        <v>0</v>
      </c>
      <c r="Q121" s="14">
        <v>0</v>
      </c>
      <c r="R121" s="14">
        <v>0</v>
      </c>
    </row>
    <row r="122" spans="1:18" s="345" customFormat="1" ht="17.25" customHeight="1">
      <c r="A122" s="59">
        <v>37</v>
      </c>
      <c r="B122" s="71" t="s">
        <v>389</v>
      </c>
      <c r="C122" s="1167"/>
      <c r="D122" s="1168"/>
      <c r="E122" s="1169">
        <f t="shared" si="23"/>
        <v>0</v>
      </c>
      <c r="F122" s="1169"/>
      <c r="G122" s="436">
        <v>0</v>
      </c>
      <c r="H122" s="14">
        <v>0</v>
      </c>
      <c r="I122" s="97">
        <f t="shared" si="24"/>
        <v>0</v>
      </c>
      <c r="J122" s="14">
        <v>0</v>
      </c>
      <c r="K122" s="1170">
        <v>0</v>
      </c>
      <c r="L122" s="1171"/>
      <c r="M122" s="97">
        <f t="shared" si="25"/>
        <v>0</v>
      </c>
      <c r="N122" s="14">
        <v>0</v>
      </c>
      <c r="O122" s="14">
        <v>0</v>
      </c>
      <c r="P122" s="97">
        <f t="shared" si="22"/>
        <v>0</v>
      </c>
      <c r="Q122" s="14">
        <v>0</v>
      </c>
      <c r="R122" s="14">
        <v>0</v>
      </c>
    </row>
    <row r="123" spans="1:18" s="345" customFormat="1" ht="17.25" customHeight="1">
      <c r="A123" s="59">
        <v>38</v>
      </c>
      <c r="B123" s="71" t="s">
        <v>390</v>
      </c>
      <c r="C123" s="1167"/>
      <c r="D123" s="1168"/>
      <c r="E123" s="1169">
        <f t="shared" si="23"/>
        <v>0</v>
      </c>
      <c r="F123" s="1169"/>
      <c r="G123" s="436">
        <v>0</v>
      </c>
      <c r="H123" s="14">
        <v>0</v>
      </c>
      <c r="I123" s="97">
        <f t="shared" si="24"/>
        <v>0</v>
      </c>
      <c r="J123" s="14">
        <v>0</v>
      </c>
      <c r="K123" s="1170">
        <v>0</v>
      </c>
      <c r="L123" s="1171"/>
      <c r="M123" s="97">
        <f t="shared" si="25"/>
        <v>0</v>
      </c>
      <c r="N123" s="14">
        <v>0</v>
      </c>
      <c r="O123" s="14">
        <v>0</v>
      </c>
      <c r="P123" s="97">
        <f t="shared" si="22"/>
        <v>0</v>
      </c>
      <c r="Q123" s="14">
        <v>0</v>
      </c>
      <c r="R123" s="14">
        <v>0</v>
      </c>
    </row>
    <row r="124" spans="1:18" s="345" customFormat="1" ht="17.25" customHeight="1">
      <c r="A124" s="59">
        <v>39</v>
      </c>
      <c r="B124" s="71" t="s">
        <v>391</v>
      </c>
      <c r="C124" s="1167"/>
      <c r="D124" s="1168"/>
      <c r="E124" s="1169">
        <f t="shared" si="23"/>
        <v>0</v>
      </c>
      <c r="F124" s="1169"/>
      <c r="G124" s="436">
        <v>0</v>
      </c>
      <c r="H124" s="14">
        <v>0</v>
      </c>
      <c r="I124" s="97">
        <f t="shared" si="24"/>
        <v>0</v>
      </c>
      <c r="J124" s="14">
        <v>0</v>
      </c>
      <c r="K124" s="1170">
        <v>0</v>
      </c>
      <c r="L124" s="1171"/>
      <c r="M124" s="97">
        <f t="shared" si="25"/>
        <v>0</v>
      </c>
      <c r="N124" s="14">
        <v>0</v>
      </c>
      <c r="O124" s="14">
        <v>0</v>
      </c>
      <c r="P124" s="97">
        <f t="shared" si="22"/>
        <v>0</v>
      </c>
      <c r="Q124" s="14">
        <v>0</v>
      </c>
      <c r="R124" s="14">
        <v>0</v>
      </c>
    </row>
    <row r="125" spans="1:18" s="345" customFormat="1" ht="17.25" customHeight="1">
      <c r="A125" s="59">
        <v>40</v>
      </c>
      <c r="B125" s="71" t="s">
        <v>392</v>
      </c>
      <c r="C125" s="1167"/>
      <c r="D125" s="1168"/>
      <c r="E125" s="1169">
        <f t="shared" si="23"/>
        <v>0</v>
      </c>
      <c r="F125" s="1169"/>
      <c r="G125" s="436">
        <v>0</v>
      </c>
      <c r="H125" s="14">
        <v>0</v>
      </c>
      <c r="I125" s="97">
        <f t="shared" si="24"/>
        <v>0</v>
      </c>
      <c r="J125" s="14">
        <v>0</v>
      </c>
      <c r="K125" s="1170">
        <v>0</v>
      </c>
      <c r="L125" s="1171"/>
      <c r="M125" s="97">
        <f t="shared" si="25"/>
        <v>0</v>
      </c>
      <c r="N125" s="14">
        <v>0</v>
      </c>
      <c r="O125" s="14">
        <v>0</v>
      </c>
      <c r="P125" s="97">
        <f t="shared" si="22"/>
        <v>0</v>
      </c>
      <c r="Q125" s="14">
        <v>0</v>
      </c>
      <c r="R125" s="14">
        <v>0</v>
      </c>
    </row>
    <row r="126" spans="1:18" s="345" customFormat="1" ht="17.25" customHeight="1">
      <c r="A126" s="59">
        <v>41</v>
      </c>
      <c r="B126" s="71" t="s">
        <v>393</v>
      </c>
      <c r="C126" s="1167"/>
      <c r="D126" s="1168"/>
      <c r="E126" s="1169">
        <f t="shared" si="23"/>
        <v>0</v>
      </c>
      <c r="F126" s="1169"/>
      <c r="G126" s="436">
        <v>0</v>
      </c>
      <c r="H126" s="14">
        <v>0</v>
      </c>
      <c r="I126" s="97">
        <f t="shared" si="24"/>
        <v>0</v>
      </c>
      <c r="J126" s="14">
        <v>0</v>
      </c>
      <c r="K126" s="1170">
        <v>0</v>
      </c>
      <c r="L126" s="1171"/>
      <c r="M126" s="97">
        <f t="shared" si="25"/>
        <v>0</v>
      </c>
      <c r="N126" s="14">
        <v>0</v>
      </c>
      <c r="O126" s="14">
        <v>0</v>
      </c>
      <c r="P126" s="97">
        <f t="shared" si="22"/>
        <v>0</v>
      </c>
      <c r="Q126" s="14">
        <v>0</v>
      </c>
      <c r="R126" s="14">
        <v>0</v>
      </c>
    </row>
    <row r="127" spans="1:18" s="345" customFormat="1" ht="17.25" customHeight="1">
      <c r="A127" s="59">
        <v>42</v>
      </c>
      <c r="B127" s="71" t="s">
        <v>394</v>
      </c>
      <c r="C127" s="1167"/>
      <c r="D127" s="1168"/>
      <c r="E127" s="1169">
        <f t="shared" si="23"/>
        <v>0</v>
      </c>
      <c r="F127" s="1169"/>
      <c r="G127" s="436">
        <v>0</v>
      </c>
      <c r="H127" s="14">
        <v>0</v>
      </c>
      <c r="I127" s="97">
        <f t="shared" si="24"/>
        <v>0</v>
      </c>
      <c r="J127" s="14">
        <v>0</v>
      </c>
      <c r="K127" s="1170">
        <v>0</v>
      </c>
      <c r="L127" s="1171"/>
      <c r="M127" s="97">
        <f t="shared" si="25"/>
        <v>0</v>
      </c>
      <c r="N127" s="14">
        <v>0</v>
      </c>
      <c r="O127" s="14">
        <v>0</v>
      </c>
      <c r="P127" s="97">
        <f t="shared" si="22"/>
        <v>0</v>
      </c>
      <c r="Q127" s="14">
        <v>0</v>
      </c>
      <c r="R127" s="14">
        <v>0</v>
      </c>
    </row>
    <row r="128" spans="1:18" s="345" customFormat="1" ht="17.25" customHeight="1">
      <c r="A128" s="59">
        <v>43</v>
      </c>
      <c r="B128" s="71" t="s">
        <v>395</v>
      </c>
      <c r="C128" s="1167"/>
      <c r="D128" s="1168"/>
      <c r="E128" s="1169">
        <f t="shared" si="23"/>
        <v>0</v>
      </c>
      <c r="F128" s="1169"/>
      <c r="G128" s="436">
        <v>0</v>
      </c>
      <c r="H128" s="14">
        <v>0</v>
      </c>
      <c r="I128" s="97">
        <f t="shared" si="24"/>
        <v>0</v>
      </c>
      <c r="J128" s="14">
        <v>0</v>
      </c>
      <c r="K128" s="1170">
        <v>0</v>
      </c>
      <c r="L128" s="1171"/>
      <c r="M128" s="97">
        <f t="shared" si="25"/>
        <v>0</v>
      </c>
      <c r="N128" s="14">
        <v>0</v>
      </c>
      <c r="O128" s="14">
        <v>0</v>
      </c>
      <c r="P128" s="97">
        <f t="shared" si="22"/>
        <v>0</v>
      </c>
      <c r="Q128" s="14">
        <v>0</v>
      </c>
      <c r="R128" s="14">
        <v>0</v>
      </c>
    </row>
    <row r="129" spans="1:18" s="345" customFormat="1" ht="17.25" customHeight="1">
      <c r="A129" s="59">
        <v>44</v>
      </c>
      <c r="B129" s="71" t="s">
        <v>396</v>
      </c>
      <c r="C129" s="1167"/>
      <c r="D129" s="1168"/>
      <c r="E129" s="1169">
        <f t="shared" si="23"/>
        <v>0</v>
      </c>
      <c r="F129" s="1169"/>
      <c r="G129" s="436">
        <v>0</v>
      </c>
      <c r="H129" s="14">
        <v>0</v>
      </c>
      <c r="I129" s="97">
        <f t="shared" si="24"/>
        <v>0</v>
      </c>
      <c r="J129" s="14">
        <v>0</v>
      </c>
      <c r="K129" s="1170">
        <v>0</v>
      </c>
      <c r="L129" s="1171"/>
      <c r="M129" s="97">
        <f t="shared" si="25"/>
        <v>0</v>
      </c>
      <c r="N129" s="14">
        <v>0</v>
      </c>
      <c r="O129" s="14">
        <v>0</v>
      </c>
      <c r="P129" s="97">
        <f t="shared" si="22"/>
        <v>0</v>
      </c>
      <c r="Q129" s="14">
        <v>0</v>
      </c>
      <c r="R129" s="14">
        <v>0</v>
      </c>
    </row>
    <row r="130" spans="1:18" s="345" customFormat="1" ht="17.25" customHeight="1">
      <c r="A130" s="59">
        <v>45</v>
      </c>
      <c r="B130" s="76" t="s">
        <v>397</v>
      </c>
      <c r="C130" s="1167"/>
      <c r="D130" s="1168"/>
      <c r="E130" s="1169">
        <f t="shared" si="23"/>
        <v>0</v>
      </c>
      <c r="F130" s="1169"/>
      <c r="G130" s="436">
        <v>0</v>
      </c>
      <c r="H130" s="14">
        <v>0</v>
      </c>
      <c r="I130" s="97">
        <f t="shared" si="24"/>
        <v>0</v>
      </c>
      <c r="J130" s="14">
        <v>0</v>
      </c>
      <c r="K130" s="1170">
        <v>0</v>
      </c>
      <c r="L130" s="1171"/>
      <c r="M130" s="97">
        <f t="shared" si="25"/>
        <v>0</v>
      </c>
      <c r="N130" s="14">
        <v>0</v>
      </c>
      <c r="O130" s="14">
        <v>0</v>
      </c>
      <c r="P130" s="97">
        <f t="shared" si="22"/>
        <v>0</v>
      </c>
      <c r="Q130" s="14">
        <v>0</v>
      </c>
      <c r="R130" s="14">
        <v>0</v>
      </c>
    </row>
    <row r="131" spans="1:18" s="345" customFormat="1" ht="17.25" customHeight="1">
      <c r="A131" s="59">
        <v>46</v>
      </c>
      <c r="B131" s="76" t="s">
        <v>398</v>
      </c>
      <c r="C131" s="1167"/>
      <c r="D131" s="1168"/>
      <c r="E131" s="1169">
        <f t="shared" si="23"/>
        <v>0</v>
      </c>
      <c r="F131" s="1169"/>
      <c r="G131" s="436">
        <v>0</v>
      </c>
      <c r="H131" s="14">
        <v>0</v>
      </c>
      <c r="I131" s="97">
        <f t="shared" si="24"/>
        <v>0</v>
      </c>
      <c r="J131" s="14">
        <v>0</v>
      </c>
      <c r="K131" s="1170">
        <v>0</v>
      </c>
      <c r="L131" s="1171"/>
      <c r="M131" s="97">
        <f t="shared" si="25"/>
        <v>0</v>
      </c>
      <c r="N131" s="14">
        <v>0</v>
      </c>
      <c r="O131" s="14">
        <v>0</v>
      </c>
      <c r="P131" s="97">
        <f t="shared" si="22"/>
        <v>0</v>
      </c>
      <c r="Q131" s="14">
        <v>0</v>
      </c>
      <c r="R131" s="14">
        <v>0</v>
      </c>
    </row>
    <row r="132" spans="1:18" s="345" customFormat="1" ht="17.25" customHeight="1">
      <c r="A132" s="59">
        <v>47</v>
      </c>
      <c r="B132" s="76" t="s">
        <v>399</v>
      </c>
      <c r="C132" s="1167"/>
      <c r="D132" s="1168"/>
      <c r="E132" s="1169">
        <f t="shared" si="23"/>
        <v>0</v>
      </c>
      <c r="F132" s="1169"/>
      <c r="G132" s="436">
        <v>0</v>
      </c>
      <c r="H132" s="14">
        <v>0</v>
      </c>
      <c r="I132" s="97">
        <f t="shared" si="24"/>
        <v>0</v>
      </c>
      <c r="J132" s="14">
        <v>0</v>
      </c>
      <c r="K132" s="1170">
        <v>0</v>
      </c>
      <c r="L132" s="1171"/>
      <c r="M132" s="97">
        <f t="shared" si="25"/>
        <v>0</v>
      </c>
      <c r="N132" s="14">
        <v>0</v>
      </c>
      <c r="O132" s="14">
        <v>0</v>
      </c>
      <c r="P132" s="97">
        <v>0</v>
      </c>
      <c r="Q132" s="14">
        <v>0</v>
      </c>
      <c r="R132" s="14">
        <v>0</v>
      </c>
    </row>
    <row r="133" spans="1:18" s="345" customFormat="1" ht="17.25" customHeight="1">
      <c r="A133" s="59">
        <v>48</v>
      </c>
      <c r="B133" s="76" t="s">
        <v>400</v>
      </c>
      <c r="C133" s="1167"/>
      <c r="D133" s="1168"/>
      <c r="E133" s="1169">
        <f t="shared" si="23"/>
        <v>0</v>
      </c>
      <c r="F133" s="1169"/>
      <c r="G133" s="436">
        <v>0</v>
      </c>
      <c r="H133" s="14">
        <v>0</v>
      </c>
      <c r="I133" s="97">
        <f t="shared" si="24"/>
        <v>0</v>
      </c>
      <c r="J133" s="14">
        <v>0</v>
      </c>
      <c r="K133" s="1170">
        <v>0</v>
      </c>
      <c r="L133" s="1171"/>
      <c r="M133" s="97">
        <f t="shared" si="25"/>
        <v>0</v>
      </c>
      <c r="N133" s="14">
        <v>0</v>
      </c>
      <c r="O133" s="14">
        <v>0</v>
      </c>
      <c r="P133" s="97">
        <f aca="true" t="shared" si="26" ref="P133:P148">Q133+R133</f>
        <v>0</v>
      </c>
      <c r="Q133" s="14">
        <v>0</v>
      </c>
      <c r="R133" s="14">
        <v>0</v>
      </c>
    </row>
    <row r="134" spans="1:18" s="345" customFormat="1" ht="17.25" customHeight="1">
      <c r="A134" s="59">
        <v>49</v>
      </c>
      <c r="B134" s="76" t="s">
        <v>401</v>
      </c>
      <c r="C134" s="1167"/>
      <c r="D134" s="1168"/>
      <c r="E134" s="1169">
        <f t="shared" si="23"/>
        <v>0</v>
      </c>
      <c r="F134" s="1169"/>
      <c r="G134" s="436">
        <v>0</v>
      </c>
      <c r="H134" s="14">
        <v>0</v>
      </c>
      <c r="I134" s="97">
        <f t="shared" si="24"/>
        <v>0</v>
      </c>
      <c r="J134" s="14">
        <v>0</v>
      </c>
      <c r="K134" s="1170">
        <v>0</v>
      </c>
      <c r="L134" s="1171"/>
      <c r="M134" s="97">
        <f t="shared" si="25"/>
        <v>0</v>
      </c>
      <c r="N134" s="14">
        <v>0</v>
      </c>
      <c r="O134" s="14">
        <v>0</v>
      </c>
      <c r="P134" s="97">
        <f t="shared" si="26"/>
        <v>0</v>
      </c>
      <c r="Q134" s="14">
        <v>0</v>
      </c>
      <c r="R134" s="14">
        <v>0</v>
      </c>
    </row>
    <row r="135" spans="1:18" s="345" customFormat="1" ht="17.25" customHeight="1">
      <c r="A135" s="59">
        <v>50</v>
      </c>
      <c r="B135" s="76" t="s">
        <v>402</v>
      </c>
      <c r="C135" s="1167"/>
      <c r="D135" s="1168"/>
      <c r="E135" s="1169">
        <f t="shared" si="23"/>
        <v>0</v>
      </c>
      <c r="F135" s="1169"/>
      <c r="G135" s="437"/>
      <c r="H135" s="438"/>
      <c r="I135" s="97">
        <f t="shared" si="24"/>
        <v>0</v>
      </c>
      <c r="J135" s="438"/>
      <c r="K135" s="1172"/>
      <c r="L135" s="1173"/>
      <c r="M135" s="97">
        <f t="shared" si="25"/>
        <v>0</v>
      </c>
      <c r="N135" s="438"/>
      <c r="O135" s="438"/>
      <c r="P135" s="97">
        <f t="shared" si="26"/>
        <v>0</v>
      </c>
      <c r="Q135" s="438"/>
      <c r="R135" s="438"/>
    </row>
    <row r="136" spans="1:18" s="345" customFormat="1" ht="17.25" customHeight="1">
      <c r="A136" s="59">
        <v>51</v>
      </c>
      <c r="B136" s="75" t="s">
        <v>403</v>
      </c>
      <c r="C136" s="1167"/>
      <c r="D136" s="1168"/>
      <c r="E136" s="1169">
        <f t="shared" si="23"/>
        <v>0</v>
      </c>
      <c r="F136" s="1169"/>
      <c r="G136" s="436">
        <v>0</v>
      </c>
      <c r="H136" s="14">
        <v>0</v>
      </c>
      <c r="I136" s="97">
        <f t="shared" si="24"/>
        <v>0</v>
      </c>
      <c r="J136" s="14">
        <v>0</v>
      </c>
      <c r="K136" s="1170">
        <v>0</v>
      </c>
      <c r="L136" s="1171"/>
      <c r="M136" s="97">
        <f t="shared" si="25"/>
        <v>0</v>
      </c>
      <c r="N136" s="14">
        <v>0</v>
      </c>
      <c r="O136" s="14">
        <v>0</v>
      </c>
      <c r="P136" s="97">
        <f t="shared" si="26"/>
        <v>0</v>
      </c>
      <c r="Q136" s="14">
        <v>0</v>
      </c>
      <c r="R136" s="14">
        <v>0</v>
      </c>
    </row>
    <row r="137" spans="1:18" s="345" customFormat="1" ht="17.25" customHeight="1">
      <c r="A137" s="59">
        <v>52</v>
      </c>
      <c r="B137" s="75" t="s">
        <v>404</v>
      </c>
      <c r="C137" s="1167"/>
      <c r="D137" s="1168"/>
      <c r="E137" s="1169">
        <f t="shared" si="23"/>
        <v>0</v>
      </c>
      <c r="F137" s="1169"/>
      <c r="G137" s="436">
        <v>0</v>
      </c>
      <c r="H137" s="14">
        <v>0</v>
      </c>
      <c r="I137" s="97">
        <f t="shared" si="24"/>
        <v>0</v>
      </c>
      <c r="J137" s="14">
        <v>0</v>
      </c>
      <c r="K137" s="1170">
        <v>0</v>
      </c>
      <c r="L137" s="1171"/>
      <c r="M137" s="97">
        <f t="shared" si="25"/>
        <v>0</v>
      </c>
      <c r="N137" s="14">
        <v>0</v>
      </c>
      <c r="O137" s="14">
        <v>0</v>
      </c>
      <c r="P137" s="97">
        <f t="shared" si="26"/>
        <v>0</v>
      </c>
      <c r="Q137" s="14">
        <v>0</v>
      </c>
      <c r="R137" s="14">
        <v>0</v>
      </c>
    </row>
    <row r="138" spans="1:18" s="345" customFormat="1" ht="17.25" customHeight="1">
      <c r="A138" s="59">
        <v>53</v>
      </c>
      <c r="B138" s="75" t="s">
        <v>405</v>
      </c>
      <c r="C138" s="1167"/>
      <c r="D138" s="1168"/>
      <c r="E138" s="1169">
        <f t="shared" si="23"/>
        <v>0</v>
      </c>
      <c r="F138" s="1169"/>
      <c r="G138" s="436">
        <v>0</v>
      </c>
      <c r="H138" s="14">
        <v>0</v>
      </c>
      <c r="I138" s="97">
        <f t="shared" si="24"/>
        <v>0</v>
      </c>
      <c r="J138" s="14">
        <v>0</v>
      </c>
      <c r="K138" s="1170">
        <v>0</v>
      </c>
      <c r="L138" s="1171"/>
      <c r="M138" s="97">
        <f t="shared" si="25"/>
        <v>0</v>
      </c>
      <c r="N138" s="14">
        <v>0</v>
      </c>
      <c r="O138" s="14">
        <v>0</v>
      </c>
      <c r="P138" s="97">
        <f t="shared" si="26"/>
        <v>0</v>
      </c>
      <c r="Q138" s="14">
        <v>0</v>
      </c>
      <c r="R138" s="14">
        <v>0</v>
      </c>
    </row>
    <row r="139" spans="1:18" s="345" customFormat="1" ht="17.25" customHeight="1">
      <c r="A139" s="59">
        <v>54</v>
      </c>
      <c r="B139" s="75" t="s">
        <v>406</v>
      </c>
      <c r="C139" s="1167"/>
      <c r="D139" s="1168"/>
      <c r="E139" s="1169">
        <f t="shared" si="23"/>
        <v>0</v>
      </c>
      <c r="F139" s="1169"/>
      <c r="G139" s="436">
        <v>0</v>
      </c>
      <c r="H139" s="14">
        <v>0</v>
      </c>
      <c r="I139" s="97">
        <f t="shared" si="24"/>
        <v>0</v>
      </c>
      <c r="J139" s="14">
        <v>0</v>
      </c>
      <c r="K139" s="1170">
        <v>0</v>
      </c>
      <c r="L139" s="1171"/>
      <c r="M139" s="97">
        <f t="shared" si="25"/>
        <v>0</v>
      </c>
      <c r="N139" s="14">
        <v>0</v>
      </c>
      <c r="O139" s="14">
        <v>0</v>
      </c>
      <c r="P139" s="97">
        <f t="shared" si="26"/>
        <v>0</v>
      </c>
      <c r="Q139" s="14">
        <v>0</v>
      </c>
      <c r="R139" s="14">
        <v>0</v>
      </c>
    </row>
    <row r="140" spans="1:18" s="345" customFormat="1" ht="17.25" customHeight="1">
      <c r="A140" s="59">
        <v>55</v>
      </c>
      <c r="B140" s="75" t="s">
        <v>407</v>
      </c>
      <c r="C140" s="1167"/>
      <c r="D140" s="1168"/>
      <c r="E140" s="1169">
        <f t="shared" si="23"/>
        <v>0</v>
      </c>
      <c r="F140" s="1169"/>
      <c r="G140" s="436">
        <v>0</v>
      </c>
      <c r="H140" s="14">
        <v>0</v>
      </c>
      <c r="I140" s="97">
        <f t="shared" si="24"/>
        <v>0</v>
      </c>
      <c r="J140" s="14">
        <v>0</v>
      </c>
      <c r="K140" s="1170">
        <v>0</v>
      </c>
      <c r="L140" s="1171"/>
      <c r="M140" s="97">
        <f t="shared" si="25"/>
        <v>0</v>
      </c>
      <c r="N140" s="14">
        <v>0</v>
      </c>
      <c r="O140" s="14">
        <v>0</v>
      </c>
      <c r="P140" s="97">
        <f t="shared" si="26"/>
        <v>0</v>
      </c>
      <c r="Q140" s="14">
        <v>0</v>
      </c>
      <c r="R140" s="14">
        <v>0</v>
      </c>
    </row>
    <row r="141" spans="1:18" s="345" customFormat="1" ht="17.25" customHeight="1">
      <c r="A141" s="59">
        <v>56</v>
      </c>
      <c r="B141" s="75" t="s">
        <v>408</v>
      </c>
      <c r="C141" s="1167"/>
      <c r="D141" s="1168"/>
      <c r="E141" s="1169">
        <f t="shared" si="23"/>
        <v>0</v>
      </c>
      <c r="F141" s="1169"/>
      <c r="G141" s="436">
        <v>0</v>
      </c>
      <c r="H141" s="14">
        <v>0</v>
      </c>
      <c r="I141" s="97">
        <f t="shared" si="24"/>
        <v>0</v>
      </c>
      <c r="J141" s="14">
        <v>0</v>
      </c>
      <c r="K141" s="1170">
        <v>0</v>
      </c>
      <c r="L141" s="1171"/>
      <c r="M141" s="97">
        <f t="shared" si="25"/>
        <v>0</v>
      </c>
      <c r="N141" s="14">
        <v>0</v>
      </c>
      <c r="O141" s="14">
        <v>0</v>
      </c>
      <c r="P141" s="97">
        <f t="shared" si="26"/>
        <v>0</v>
      </c>
      <c r="Q141" s="14">
        <v>0</v>
      </c>
      <c r="R141" s="14">
        <v>0</v>
      </c>
    </row>
    <row r="142" spans="1:18" s="345" customFormat="1" ht="17.25" customHeight="1">
      <c r="A142" s="59">
        <v>57</v>
      </c>
      <c r="B142" s="75" t="s">
        <v>409</v>
      </c>
      <c r="C142" s="1167"/>
      <c r="D142" s="1168"/>
      <c r="E142" s="1169">
        <f t="shared" si="23"/>
        <v>0</v>
      </c>
      <c r="F142" s="1169"/>
      <c r="G142" s="436">
        <v>0</v>
      </c>
      <c r="H142" s="14">
        <v>0</v>
      </c>
      <c r="I142" s="97">
        <f t="shared" si="24"/>
        <v>0</v>
      </c>
      <c r="J142" s="14">
        <v>0</v>
      </c>
      <c r="K142" s="1170">
        <v>0</v>
      </c>
      <c r="L142" s="1171"/>
      <c r="M142" s="97">
        <f t="shared" si="25"/>
        <v>0</v>
      </c>
      <c r="N142" s="14">
        <v>0</v>
      </c>
      <c r="O142" s="14">
        <v>0</v>
      </c>
      <c r="P142" s="97">
        <f t="shared" si="26"/>
        <v>0</v>
      </c>
      <c r="Q142" s="14">
        <v>0</v>
      </c>
      <c r="R142" s="14">
        <v>0</v>
      </c>
    </row>
    <row r="143" spans="1:18" s="345" customFormat="1" ht="17.25" customHeight="1">
      <c r="A143" s="59">
        <v>58</v>
      </c>
      <c r="B143" s="75" t="s">
        <v>410</v>
      </c>
      <c r="C143" s="1167"/>
      <c r="D143" s="1168"/>
      <c r="E143" s="1169">
        <f t="shared" si="23"/>
        <v>175</v>
      </c>
      <c r="F143" s="1169"/>
      <c r="G143" s="436">
        <v>86</v>
      </c>
      <c r="H143" s="14">
        <v>89</v>
      </c>
      <c r="I143" s="97">
        <f t="shared" si="24"/>
        <v>2108</v>
      </c>
      <c r="J143" s="14">
        <v>527</v>
      </c>
      <c r="K143" s="1174">
        <v>1581</v>
      </c>
      <c r="L143" s="1175"/>
      <c r="M143" s="97">
        <f t="shared" si="25"/>
        <v>386083540</v>
      </c>
      <c r="N143" s="14">
        <v>96520885</v>
      </c>
      <c r="O143" s="14">
        <v>289562655</v>
      </c>
      <c r="P143" s="97">
        <f t="shared" si="26"/>
        <v>76365825</v>
      </c>
      <c r="Q143" s="14">
        <v>19091456</v>
      </c>
      <c r="R143" s="14">
        <v>57274369</v>
      </c>
    </row>
    <row r="144" spans="1:18" s="345" customFormat="1" ht="17.25" customHeight="1">
      <c r="A144" s="59">
        <v>59</v>
      </c>
      <c r="B144" s="75" t="s">
        <v>411</v>
      </c>
      <c r="C144" s="1167"/>
      <c r="D144" s="1168"/>
      <c r="E144" s="1169">
        <f t="shared" si="23"/>
        <v>0</v>
      </c>
      <c r="F144" s="1169"/>
      <c r="G144" s="436">
        <v>0</v>
      </c>
      <c r="H144" s="14">
        <v>0</v>
      </c>
      <c r="I144" s="97">
        <f t="shared" si="24"/>
        <v>0</v>
      </c>
      <c r="J144" s="14">
        <v>0</v>
      </c>
      <c r="K144" s="1170">
        <v>0</v>
      </c>
      <c r="L144" s="1171"/>
      <c r="M144" s="97">
        <f t="shared" si="25"/>
        <v>0</v>
      </c>
      <c r="N144" s="14">
        <v>0</v>
      </c>
      <c r="O144" s="14">
        <v>0</v>
      </c>
      <c r="P144" s="97">
        <f t="shared" si="26"/>
        <v>0</v>
      </c>
      <c r="Q144" s="14">
        <v>0</v>
      </c>
      <c r="R144" s="14">
        <v>0</v>
      </c>
    </row>
    <row r="145" spans="1:18" s="345" customFormat="1" ht="17.25" customHeight="1">
      <c r="A145" s="59">
        <v>60</v>
      </c>
      <c r="B145" s="75" t="s">
        <v>412</v>
      </c>
      <c r="C145" s="1167"/>
      <c r="D145" s="1168"/>
      <c r="E145" s="1169">
        <f t="shared" si="23"/>
        <v>0</v>
      </c>
      <c r="F145" s="1169"/>
      <c r="G145" s="436">
        <v>0</v>
      </c>
      <c r="H145" s="14">
        <v>0</v>
      </c>
      <c r="I145" s="97">
        <f t="shared" si="24"/>
        <v>0</v>
      </c>
      <c r="J145" s="14">
        <v>0</v>
      </c>
      <c r="K145" s="1170">
        <v>0</v>
      </c>
      <c r="L145" s="1171"/>
      <c r="M145" s="97">
        <f t="shared" si="25"/>
        <v>0</v>
      </c>
      <c r="N145" s="14">
        <v>0</v>
      </c>
      <c r="O145" s="14">
        <v>0</v>
      </c>
      <c r="P145" s="97">
        <f t="shared" si="26"/>
        <v>0</v>
      </c>
      <c r="Q145" s="14">
        <v>0</v>
      </c>
      <c r="R145" s="14">
        <v>0</v>
      </c>
    </row>
    <row r="146" spans="1:18" s="345" customFormat="1" ht="17.25" customHeight="1">
      <c r="A146" s="59">
        <v>61</v>
      </c>
      <c r="B146" s="75" t="s">
        <v>413</v>
      </c>
      <c r="C146" s="1167"/>
      <c r="D146" s="1168"/>
      <c r="E146" s="1169">
        <f t="shared" si="23"/>
        <v>0</v>
      </c>
      <c r="F146" s="1169"/>
      <c r="G146" s="436">
        <v>0</v>
      </c>
      <c r="H146" s="14">
        <v>0</v>
      </c>
      <c r="I146" s="97">
        <f t="shared" si="24"/>
        <v>0</v>
      </c>
      <c r="J146" s="14">
        <v>0</v>
      </c>
      <c r="K146" s="1170">
        <v>0</v>
      </c>
      <c r="L146" s="1171"/>
      <c r="M146" s="97">
        <f t="shared" si="25"/>
        <v>0</v>
      </c>
      <c r="N146" s="14">
        <v>0</v>
      </c>
      <c r="O146" s="14">
        <v>0</v>
      </c>
      <c r="P146" s="97">
        <f t="shared" si="26"/>
        <v>0</v>
      </c>
      <c r="Q146" s="14">
        <v>0</v>
      </c>
      <c r="R146" s="14">
        <v>0</v>
      </c>
    </row>
    <row r="147" spans="1:18" s="345" customFormat="1" ht="17.25" customHeight="1">
      <c r="A147" s="59">
        <v>62</v>
      </c>
      <c r="B147" s="75" t="s">
        <v>414</v>
      </c>
      <c r="C147" s="1167"/>
      <c r="D147" s="1168"/>
      <c r="E147" s="1169">
        <f t="shared" si="23"/>
        <v>0</v>
      </c>
      <c r="F147" s="1169"/>
      <c r="G147" s="436">
        <v>0</v>
      </c>
      <c r="H147" s="14">
        <v>0</v>
      </c>
      <c r="I147" s="97">
        <f t="shared" si="24"/>
        <v>0</v>
      </c>
      <c r="J147" s="14">
        <v>0</v>
      </c>
      <c r="K147" s="1170">
        <v>0</v>
      </c>
      <c r="L147" s="1171"/>
      <c r="M147" s="97">
        <f t="shared" si="25"/>
        <v>0</v>
      </c>
      <c r="N147" s="14">
        <v>0</v>
      </c>
      <c r="O147" s="14">
        <v>0</v>
      </c>
      <c r="P147" s="97">
        <f t="shared" si="26"/>
        <v>0</v>
      </c>
      <c r="Q147" s="14">
        <v>0</v>
      </c>
      <c r="R147" s="14">
        <v>0</v>
      </c>
    </row>
    <row r="148" spans="1:18" s="345" customFormat="1" ht="17.25" customHeight="1">
      <c r="A148" s="59">
        <v>63</v>
      </c>
      <c r="B148" s="75" t="s">
        <v>415</v>
      </c>
      <c r="C148" s="1167"/>
      <c r="D148" s="1168"/>
      <c r="E148" s="1169">
        <f t="shared" si="23"/>
        <v>0</v>
      </c>
      <c r="F148" s="1169"/>
      <c r="G148" s="436">
        <v>0</v>
      </c>
      <c r="H148" s="14">
        <v>0</v>
      </c>
      <c r="I148" s="97">
        <f t="shared" si="24"/>
        <v>0</v>
      </c>
      <c r="J148" s="14">
        <v>0</v>
      </c>
      <c r="K148" s="1170">
        <v>0</v>
      </c>
      <c r="L148" s="1171"/>
      <c r="M148" s="97">
        <f t="shared" si="25"/>
        <v>0</v>
      </c>
      <c r="N148" s="14">
        <v>0</v>
      </c>
      <c r="O148" s="14">
        <v>0</v>
      </c>
      <c r="P148" s="97">
        <f t="shared" si="26"/>
        <v>0</v>
      </c>
      <c r="Q148" s="14">
        <v>0</v>
      </c>
      <c r="R148" s="14">
        <v>0</v>
      </c>
    </row>
    <row r="149" spans="1:8" s="89" customFormat="1" ht="18" customHeight="1">
      <c r="A149" s="50"/>
      <c r="B149" s="50" t="s">
        <v>342</v>
      </c>
      <c r="C149" s="56" t="s">
        <v>505</v>
      </c>
      <c r="F149" s="50"/>
      <c r="G149" s="88"/>
      <c r="H149" s="88"/>
    </row>
    <row r="150" spans="1:6" s="87" customFormat="1" ht="18" customHeight="1">
      <c r="A150" s="50"/>
      <c r="B150" s="50" t="s">
        <v>343</v>
      </c>
      <c r="C150" s="50" t="s">
        <v>344</v>
      </c>
      <c r="F150" s="50"/>
    </row>
    <row r="151" spans="1:6" s="87" customFormat="1" ht="18" customHeight="1">
      <c r="A151" s="50"/>
      <c r="B151" s="50" t="s">
        <v>345</v>
      </c>
      <c r="C151" s="50" t="s">
        <v>346</v>
      </c>
      <c r="F151" s="50"/>
    </row>
    <row r="152" spans="1:16" s="22" customFormat="1" ht="15.75">
      <c r="A152"/>
      <c r="B152" s="142"/>
      <c r="C152" s="120" t="s">
        <v>493</v>
      </c>
      <c r="F152"/>
      <c r="G152"/>
      <c r="H152"/>
      <c r="I152"/>
      <c r="J152"/>
      <c r="K152"/>
      <c r="L152"/>
      <c r="M152"/>
      <c r="N152"/>
      <c r="O152"/>
      <c r="P152" s="13"/>
    </row>
    <row r="153" spans="1:16" s="22" customFormat="1" ht="15.75">
      <c r="A153"/>
      <c r="B153" s="90"/>
      <c r="C153" s="50" t="s">
        <v>430</v>
      </c>
      <c r="F153"/>
      <c r="G153"/>
      <c r="H153"/>
      <c r="I153"/>
      <c r="J153"/>
      <c r="K153"/>
      <c r="L153"/>
      <c r="M153"/>
      <c r="N153"/>
      <c r="O153"/>
      <c r="P153" s="13"/>
    </row>
    <row r="154" spans="1:16" s="22" customFormat="1" ht="15.75">
      <c r="A154"/>
      <c r="B154" s="91"/>
      <c r="C154" s="50" t="s">
        <v>429</v>
      </c>
      <c r="F154"/>
      <c r="G154"/>
      <c r="H154"/>
      <c r="I154"/>
      <c r="J154"/>
      <c r="K154"/>
      <c r="L154"/>
      <c r="M154"/>
      <c r="N154"/>
      <c r="O154"/>
      <c r="P154" s="13"/>
    </row>
    <row r="155" spans="1:16" s="38" customFormat="1" ht="15.75">
      <c r="A155"/>
      <c r="B155" s="143"/>
      <c r="C155" s="86" t="s">
        <v>495</v>
      </c>
      <c r="F155"/>
      <c r="G155"/>
      <c r="H155"/>
      <c r="I155"/>
      <c r="J155"/>
      <c r="K155"/>
      <c r="L155"/>
      <c r="M155"/>
      <c r="N155"/>
      <c r="O155"/>
      <c r="P155" s="13"/>
    </row>
    <row r="157" ht="12.75">
      <c r="A157" t="s">
        <v>128</v>
      </c>
    </row>
    <row r="159" ht="12.75">
      <c r="B159" t="s">
        <v>222</v>
      </c>
    </row>
    <row r="160" ht="12.75">
      <c r="B160" s="13" t="s">
        <v>129</v>
      </c>
    </row>
    <row r="161" ht="12.75">
      <c r="B161" s="13" t="s">
        <v>130</v>
      </c>
    </row>
    <row r="162" s="56" customFormat="1" ht="15.75">
      <c r="B162" s="13" t="s">
        <v>131</v>
      </c>
    </row>
    <row r="163" ht="12.75">
      <c r="B163" s="13" t="s">
        <v>134</v>
      </c>
    </row>
    <row r="165" ht="12.75">
      <c r="A165" t="s">
        <v>135</v>
      </c>
    </row>
    <row r="166" ht="12.75">
      <c r="B166" t="s">
        <v>136</v>
      </c>
    </row>
    <row r="168" ht="15" customHeight="1">
      <c r="B168" s="247"/>
    </row>
    <row r="169" ht="15" customHeight="1"/>
    <row r="170" ht="15" customHeight="1"/>
    <row r="171" ht="15" customHeight="1"/>
  </sheetData>
  <sheetProtection/>
  <mergeCells count="239">
    <mergeCell ref="D10:E10"/>
    <mergeCell ref="I10:I11"/>
    <mergeCell ref="G8:L8"/>
    <mergeCell ref="G9:G11"/>
    <mergeCell ref="P10:P11"/>
    <mergeCell ref="N10:O10"/>
    <mergeCell ref="B6:R6"/>
    <mergeCell ref="A8:B11"/>
    <mergeCell ref="C8:E9"/>
    <mergeCell ref="F8:F11"/>
    <mergeCell ref="C10:C11"/>
    <mergeCell ref="M10:M11"/>
    <mergeCell ref="Q10:R10"/>
    <mergeCell ref="H9:H11"/>
    <mergeCell ref="I9:L9"/>
    <mergeCell ref="J10:L10"/>
    <mergeCell ref="A1:C1"/>
    <mergeCell ref="A2:R2"/>
    <mergeCell ref="A3:R3"/>
    <mergeCell ref="A4:R4"/>
    <mergeCell ref="M8:R8"/>
    <mergeCell ref="M9:O9"/>
    <mergeCell ref="P9:R9"/>
    <mergeCell ref="K148:L148"/>
    <mergeCell ref="K144:L144"/>
    <mergeCell ref="K145:L145"/>
    <mergeCell ref="K146:L146"/>
    <mergeCell ref="K147:L147"/>
    <mergeCell ref="A12:B12"/>
    <mergeCell ref="A13:B13"/>
    <mergeCell ref="K138:L138"/>
    <mergeCell ref="K139:L139"/>
    <mergeCell ref="K142:L142"/>
    <mergeCell ref="K143:L143"/>
    <mergeCell ref="K140:L140"/>
    <mergeCell ref="K141:L141"/>
    <mergeCell ref="K126:L126"/>
    <mergeCell ref="K127:L127"/>
    <mergeCell ref="K134:L134"/>
    <mergeCell ref="K135:L135"/>
    <mergeCell ref="K136:L136"/>
    <mergeCell ref="K137:L137"/>
    <mergeCell ref="K130:L130"/>
    <mergeCell ref="K131:L131"/>
    <mergeCell ref="K132:L132"/>
    <mergeCell ref="K133:L133"/>
    <mergeCell ref="K128:L128"/>
    <mergeCell ref="K129:L129"/>
    <mergeCell ref="K118:L118"/>
    <mergeCell ref="K119:L119"/>
    <mergeCell ref="K120:L120"/>
    <mergeCell ref="K121:L121"/>
    <mergeCell ref="K122:L122"/>
    <mergeCell ref="K123:L123"/>
    <mergeCell ref="K124:L124"/>
    <mergeCell ref="K125:L125"/>
    <mergeCell ref="K110:L110"/>
    <mergeCell ref="K111:L111"/>
    <mergeCell ref="K112:L112"/>
    <mergeCell ref="K113:L113"/>
    <mergeCell ref="K114:L114"/>
    <mergeCell ref="K115:L115"/>
    <mergeCell ref="K100:L100"/>
    <mergeCell ref="K101:L101"/>
    <mergeCell ref="K102:L102"/>
    <mergeCell ref="K103:L103"/>
    <mergeCell ref="K116:L116"/>
    <mergeCell ref="K117:L117"/>
    <mergeCell ref="K106:L106"/>
    <mergeCell ref="K107:L107"/>
    <mergeCell ref="K108:L108"/>
    <mergeCell ref="K109:L109"/>
    <mergeCell ref="K104:L104"/>
    <mergeCell ref="K105:L105"/>
    <mergeCell ref="E148:F148"/>
    <mergeCell ref="K91:L91"/>
    <mergeCell ref="K92:L92"/>
    <mergeCell ref="K93:L93"/>
    <mergeCell ref="K94:L94"/>
    <mergeCell ref="K95:L95"/>
    <mergeCell ref="K96:L96"/>
    <mergeCell ref="K97:L97"/>
    <mergeCell ref="E146:F146"/>
    <mergeCell ref="E147:F147"/>
    <mergeCell ref="K98:L98"/>
    <mergeCell ref="K99:L99"/>
    <mergeCell ref="E142:F142"/>
    <mergeCell ref="E143:F143"/>
    <mergeCell ref="E136:F136"/>
    <mergeCell ref="E137:F137"/>
    <mergeCell ref="E138:F138"/>
    <mergeCell ref="E139:F139"/>
    <mergeCell ref="E132:F132"/>
    <mergeCell ref="E133:F133"/>
    <mergeCell ref="E144:F144"/>
    <mergeCell ref="E145:F145"/>
    <mergeCell ref="E140:F140"/>
    <mergeCell ref="E141:F141"/>
    <mergeCell ref="E134:F134"/>
    <mergeCell ref="E135:F135"/>
    <mergeCell ref="E120:F120"/>
    <mergeCell ref="E121:F121"/>
    <mergeCell ref="E128:F128"/>
    <mergeCell ref="E129:F129"/>
    <mergeCell ref="E130:F130"/>
    <mergeCell ref="E131:F131"/>
    <mergeCell ref="E124:F124"/>
    <mergeCell ref="E125:F125"/>
    <mergeCell ref="E126:F126"/>
    <mergeCell ref="E127:F127"/>
    <mergeCell ref="E122:F122"/>
    <mergeCell ref="E123:F123"/>
    <mergeCell ref="E112:F112"/>
    <mergeCell ref="E113:F113"/>
    <mergeCell ref="E114:F114"/>
    <mergeCell ref="E115:F115"/>
    <mergeCell ref="E116:F116"/>
    <mergeCell ref="E117:F117"/>
    <mergeCell ref="E118:F118"/>
    <mergeCell ref="E119:F119"/>
    <mergeCell ref="E104:F104"/>
    <mergeCell ref="E105:F105"/>
    <mergeCell ref="E106:F106"/>
    <mergeCell ref="E107:F107"/>
    <mergeCell ref="E108:F108"/>
    <mergeCell ref="E109:F109"/>
    <mergeCell ref="E96:F96"/>
    <mergeCell ref="E97:F97"/>
    <mergeCell ref="E98:F98"/>
    <mergeCell ref="E99:F99"/>
    <mergeCell ref="E110:F110"/>
    <mergeCell ref="E111:F111"/>
    <mergeCell ref="E100:F100"/>
    <mergeCell ref="E101:F101"/>
    <mergeCell ref="E102:F102"/>
    <mergeCell ref="E103:F103"/>
    <mergeCell ref="C142:D142"/>
    <mergeCell ref="C143:D143"/>
    <mergeCell ref="C144:D144"/>
    <mergeCell ref="C145:D145"/>
    <mergeCell ref="C148:D148"/>
    <mergeCell ref="E91:F91"/>
    <mergeCell ref="E92:F92"/>
    <mergeCell ref="E93:F93"/>
    <mergeCell ref="E94:F94"/>
    <mergeCell ref="E95:F95"/>
    <mergeCell ref="C132:D132"/>
    <mergeCell ref="C133:D133"/>
    <mergeCell ref="C146:D146"/>
    <mergeCell ref="C147:D147"/>
    <mergeCell ref="C136:D136"/>
    <mergeCell ref="C137:D137"/>
    <mergeCell ref="C138:D138"/>
    <mergeCell ref="C139:D139"/>
    <mergeCell ref="C140:D140"/>
    <mergeCell ref="C141:D141"/>
    <mergeCell ref="C134:D134"/>
    <mergeCell ref="C135:D135"/>
    <mergeCell ref="C124:D124"/>
    <mergeCell ref="C125:D125"/>
    <mergeCell ref="C126:D126"/>
    <mergeCell ref="C127:D127"/>
    <mergeCell ref="C128:D128"/>
    <mergeCell ref="C129:D129"/>
    <mergeCell ref="C130:D130"/>
    <mergeCell ref="C131:D131"/>
    <mergeCell ref="C116:D116"/>
    <mergeCell ref="C117:D117"/>
    <mergeCell ref="C118:D118"/>
    <mergeCell ref="C119:D119"/>
    <mergeCell ref="C120:D120"/>
    <mergeCell ref="C121:D121"/>
    <mergeCell ref="C106:D106"/>
    <mergeCell ref="C107:D107"/>
    <mergeCell ref="C108:D108"/>
    <mergeCell ref="C109:D109"/>
    <mergeCell ref="C122:D122"/>
    <mergeCell ref="C123:D123"/>
    <mergeCell ref="C112:D112"/>
    <mergeCell ref="C113:D113"/>
    <mergeCell ref="C114:D114"/>
    <mergeCell ref="C115:D115"/>
    <mergeCell ref="C96:D96"/>
    <mergeCell ref="C97:D97"/>
    <mergeCell ref="C110:D110"/>
    <mergeCell ref="C111:D111"/>
    <mergeCell ref="C100:D100"/>
    <mergeCell ref="C101:D101"/>
    <mergeCell ref="C102:D102"/>
    <mergeCell ref="C103:D103"/>
    <mergeCell ref="C104:D104"/>
    <mergeCell ref="C105:D105"/>
    <mergeCell ref="K90:L90"/>
    <mergeCell ref="C91:D91"/>
    <mergeCell ref="C92:D92"/>
    <mergeCell ref="C93:D93"/>
    <mergeCell ref="C98:D98"/>
    <mergeCell ref="C99:D99"/>
    <mergeCell ref="C90:D90"/>
    <mergeCell ref="E90:F90"/>
    <mergeCell ref="C94:D94"/>
    <mergeCell ref="C95:D95"/>
    <mergeCell ref="C88:D88"/>
    <mergeCell ref="E88:F88"/>
    <mergeCell ref="K88:L88"/>
    <mergeCell ref="C89:D89"/>
    <mergeCell ref="E89:F89"/>
    <mergeCell ref="K89:L89"/>
    <mergeCell ref="C86:D86"/>
    <mergeCell ref="E86:F86"/>
    <mergeCell ref="K86:L86"/>
    <mergeCell ref="C87:D87"/>
    <mergeCell ref="E87:F87"/>
    <mergeCell ref="K87:L87"/>
    <mergeCell ref="A84:B84"/>
    <mergeCell ref="C84:D84"/>
    <mergeCell ref="E84:F84"/>
    <mergeCell ref="K84:L84"/>
    <mergeCell ref="A85:B85"/>
    <mergeCell ref="C85:D85"/>
    <mergeCell ref="E85:F85"/>
    <mergeCell ref="K85:L85"/>
    <mergeCell ref="I79:L81"/>
    <mergeCell ref="M79:R80"/>
    <mergeCell ref="M81:O81"/>
    <mergeCell ref="P81:R81"/>
    <mergeCell ref="E82:F83"/>
    <mergeCell ref="N82:O82"/>
    <mergeCell ref="P82:P83"/>
    <mergeCell ref="B78:R78"/>
    <mergeCell ref="G82:H82"/>
    <mergeCell ref="I82:I83"/>
    <mergeCell ref="J82:L82"/>
    <mergeCell ref="M82:M83"/>
    <mergeCell ref="Q82:R82"/>
    <mergeCell ref="K83:L83"/>
    <mergeCell ref="A79:B83"/>
    <mergeCell ref="C79:D83"/>
    <mergeCell ref="E79:H81"/>
  </mergeCells>
  <printOptions/>
  <pageMargins left="0.75" right="0.25" top="0.5" bottom="0.5" header="0" footer="0"/>
  <pageSetup horizontalDpi="600" verticalDpi="600" orientation="landscape" paperSize="9" scale="65" r:id="rId2"/>
  <drawing r:id="rId1"/>
</worksheet>
</file>

<file path=xl/worksheets/sheet19.xml><?xml version="1.0" encoding="utf-8"?>
<worksheet xmlns="http://schemas.openxmlformats.org/spreadsheetml/2006/main" xmlns:r="http://schemas.openxmlformats.org/officeDocument/2006/relationships">
  <sheetPr>
    <tabColor rgb="FFFFFF00"/>
  </sheetPr>
  <dimension ref="A1:Y89"/>
  <sheetViews>
    <sheetView zoomScalePageLayoutView="0" workbookViewId="0" topLeftCell="M6">
      <pane ySplit="5925" topLeftCell="A42" activePane="topLeft" state="split"/>
      <selection pane="topLeft" activeCell="T11" sqref="T11"/>
      <selection pane="bottomLeft" activeCell="V82" sqref="V82"/>
    </sheetView>
  </sheetViews>
  <sheetFormatPr defaultColWidth="9.140625" defaultRowHeight="12.75"/>
  <cols>
    <col min="1" max="1" width="4.57421875" style="0" customWidth="1"/>
    <col min="2" max="2" width="16.00390625" style="0" customWidth="1"/>
    <col min="3" max="3" width="7.00390625" style="0" customWidth="1"/>
    <col min="4" max="4" width="8.8515625" style="0" customWidth="1"/>
    <col min="5" max="5" width="9.8515625" style="0" customWidth="1"/>
    <col min="6" max="6" width="6.8515625" style="0" customWidth="1"/>
    <col min="7" max="7" width="7.140625" style="0" customWidth="1"/>
    <col min="8" max="8" width="8.421875" style="0" customWidth="1"/>
    <col min="9" max="9" width="10.8515625" style="254" customWidth="1"/>
    <col min="10" max="10" width="11.421875" style="0" customWidth="1"/>
    <col min="11" max="11" width="10.7109375" style="254" customWidth="1"/>
    <col min="12" max="12" width="11.7109375" style="0" customWidth="1"/>
    <col min="13" max="13" width="10.7109375" style="0" customWidth="1"/>
    <col min="14" max="14" width="15.140625" style="254" customWidth="1"/>
    <col min="15" max="15" width="15.421875" style="0" customWidth="1"/>
    <col min="16" max="16" width="15.421875" style="254" customWidth="1"/>
    <col min="17" max="17" width="14.7109375" style="254" customWidth="1"/>
    <col min="18" max="18" width="16.57421875" style="254" customWidth="1"/>
    <col min="19" max="19" width="16.7109375" style="254" customWidth="1"/>
    <col min="20" max="20" width="16.140625" style="468" customWidth="1"/>
    <col min="24" max="24" width="22.7109375" style="254" customWidth="1"/>
    <col min="25" max="25" width="19.7109375" style="254" customWidth="1"/>
    <col min="26" max="27" width="16.57421875" style="0" bestFit="1" customWidth="1"/>
  </cols>
  <sheetData>
    <row r="1" spans="1:20" ht="18.75">
      <c r="A1" s="1213" t="s">
        <v>318</v>
      </c>
      <c r="B1" s="1213"/>
      <c r="C1" s="440"/>
      <c r="D1" s="440"/>
      <c r="E1" s="440"/>
      <c r="F1" s="440"/>
      <c r="G1" s="440"/>
      <c r="H1" s="440"/>
      <c r="I1" s="441"/>
      <c r="J1" s="440"/>
      <c r="K1" s="441"/>
      <c r="L1" s="440"/>
      <c r="M1" s="440"/>
      <c r="N1" s="441"/>
      <c r="O1" s="440"/>
      <c r="P1" s="441"/>
      <c r="Q1" s="441"/>
      <c r="R1" s="441"/>
      <c r="S1" s="441"/>
      <c r="T1" s="441"/>
    </row>
    <row r="2" spans="1:20" ht="18.75">
      <c r="A2" s="987" t="s">
        <v>144</v>
      </c>
      <c r="B2" s="987"/>
      <c r="C2" s="987"/>
      <c r="D2" s="987"/>
      <c r="E2" s="987"/>
      <c r="F2" s="987"/>
      <c r="G2" s="987"/>
      <c r="H2" s="987"/>
      <c r="I2" s="987"/>
      <c r="J2" s="987"/>
      <c r="K2" s="987"/>
      <c r="L2" s="987"/>
      <c r="M2" s="987"/>
      <c r="N2" s="987"/>
      <c r="O2" s="987"/>
      <c r="P2" s="987"/>
      <c r="Q2" s="987"/>
      <c r="R2" s="987"/>
      <c r="S2" s="987"/>
      <c r="T2" s="220"/>
    </row>
    <row r="3" spans="1:20" ht="30" customHeight="1">
      <c r="A3" s="1100" t="s">
        <v>145</v>
      </c>
      <c r="B3" s="1100"/>
      <c r="C3" s="1100"/>
      <c r="D3" s="1100"/>
      <c r="E3" s="1100"/>
      <c r="F3" s="1100"/>
      <c r="G3" s="1100"/>
      <c r="H3" s="1100"/>
      <c r="I3" s="1100"/>
      <c r="J3" s="1100"/>
      <c r="K3" s="1100"/>
      <c r="L3" s="1100"/>
      <c r="M3" s="1100"/>
      <c r="N3" s="1100"/>
      <c r="O3" s="1100"/>
      <c r="P3" s="1100"/>
      <c r="Q3" s="1100"/>
      <c r="R3" s="1100"/>
      <c r="S3" s="1100"/>
      <c r="T3" s="401"/>
    </row>
    <row r="4" spans="1:20" ht="18.75">
      <c r="A4" s="920" t="s">
        <v>319</v>
      </c>
      <c r="B4" s="1214"/>
      <c r="C4" s="1214"/>
      <c r="D4" s="1214"/>
      <c r="E4" s="1214"/>
      <c r="F4" s="1214"/>
      <c r="G4" s="1214"/>
      <c r="H4" s="1214"/>
      <c r="I4" s="1214"/>
      <c r="J4" s="1214"/>
      <c r="K4" s="1214"/>
      <c r="L4" s="1214"/>
      <c r="M4" s="1214"/>
      <c r="N4" s="1214"/>
      <c r="O4" s="1214"/>
      <c r="P4" s="1214"/>
      <c r="Q4" s="1214"/>
      <c r="R4" s="1214"/>
      <c r="S4" s="1214"/>
      <c r="T4" s="442"/>
    </row>
    <row r="5" spans="1:20" ht="12.75">
      <c r="A5" s="406"/>
      <c r="B5" s="443"/>
      <c r="C5" s="27"/>
      <c r="D5" s="27"/>
      <c r="E5" s="27"/>
      <c r="F5" s="27"/>
      <c r="G5" s="27"/>
      <c r="H5" s="27"/>
      <c r="I5" s="444"/>
      <c r="J5" s="27"/>
      <c r="K5" s="444"/>
      <c r="L5" s="445"/>
      <c r="M5" s="446"/>
      <c r="N5" s="444"/>
      <c r="O5" s="446"/>
      <c r="P5" s="444" t="s">
        <v>20</v>
      </c>
      <c r="Q5" s="444"/>
      <c r="R5" s="444"/>
      <c r="S5" s="444"/>
      <c r="T5" s="444"/>
    </row>
    <row r="6" spans="1:25" s="50" customFormat="1" ht="56.25" customHeight="1">
      <c r="A6" s="1159"/>
      <c r="B6" s="1159"/>
      <c r="C6" s="1205" t="s">
        <v>172</v>
      </c>
      <c r="D6" s="1206"/>
      <c r="E6" s="1207"/>
      <c r="F6" s="1205" t="s">
        <v>173</v>
      </c>
      <c r="G6" s="1206"/>
      <c r="H6" s="1207"/>
      <c r="I6" s="1077" t="s">
        <v>174</v>
      </c>
      <c r="J6" s="1078"/>
      <c r="K6" s="1078"/>
      <c r="L6" s="1078"/>
      <c r="M6" s="1079"/>
      <c r="N6" s="1151" t="s">
        <v>175</v>
      </c>
      <c r="O6" s="1157"/>
      <c r="P6" s="1152"/>
      <c r="Q6" s="1151" t="s">
        <v>176</v>
      </c>
      <c r="R6" s="1157"/>
      <c r="S6" s="1152"/>
      <c r="T6" s="243"/>
      <c r="X6" s="394"/>
      <c r="Y6" s="394"/>
    </row>
    <row r="7" spans="1:25" s="50" customFormat="1" ht="38.25" customHeight="1">
      <c r="A7" s="1159"/>
      <c r="B7" s="1159"/>
      <c r="C7" s="1208"/>
      <c r="D7" s="1209"/>
      <c r="E7" s="1210"/>
      <c r="F7" s="1208"/>
      <c r="G7" s="1209"/>
      <c r="H7" s="1210"/>
      <c r="I7" s="854" t="s">
        <v>511</v>
      </c>
      <c r="J7" s="911" t="s">
        <v>512</v>
      </c>
      <c r="K7" s="903" t="s">
        <v>320</v>
      </c>
      <c r="L7" s="904"/>
      <c r="M7" s="886"/>
      <c r="N7" s="1155"/>
      <c r="O7" s="1158"/>
      <c r="P7" s="1156"/>
      <c r="Q7" s="854" t="s">
        <v>511</v>
      </c>
      <c r="R7" s="1201" t="s">
        <v>321</v>
      </c>
      <c r="S7" s="1202"/>
      <c r="T7" s="243"/>
      <c r="X7" s="394"/>
      <c r="Y7" s="394"/>
    </row>
    <row r="8" spans="1:25" s="50" customFormat="1" ht="38.25" customHeight="1">
      <c r="A8" s="1159"/>
      <c r="B8" s="1159"/>
      <c r="C8" s="1203" t="s">
        <v>322</v>
      </c>
      <c r="D8" s="1201" t="s">
        <v>107</v>
      </c>
      <c r="E8" s="1202"/>
      <c r="F8" s="1203" t="s">
        <v>322</v>
      </c>
      <c r="G8" s="1201" t="s">
        <v>107</v>
      </c>
      <c r="H8" s="1202"/>
      <c r="I8" s="856"/>
      <c r="J8" s="912"/>
      <c r="K8" s="854" t="s">
        <v>322</v>
      </c>
      <c r="L8" s="903" t="s">
        <v>146</v>
      </c>
      <c r="M8" s="1200"/>
      <c r="N8" s="854" t="s">
        <v>511</v>
      </c>
      <c r="O8" s="1201" t="s">
        <v>321</v>
      </c>
      <c r="P8" s="1202"/>
      <c r="Q8" s="856"/>
      <c r="R8" s="1203" t="s">
        <v>512</v>
      </c>
      <c r="S8" s="854" t="s">
        <v>320</v>
      </c>
      <c r="T8" s="243"/>
      <c r="X8" s="394"/>
      <c r="Y8" s="394"/>
    </row>
    <row r="9" spans="1:25" s="50" customFormat="1" ht="94.5" customHeight="1">
      <c r="A9" s="1159"/>
      <c r="B9" s="1159"/>
      <c r="C9" s="1204"/>
      <c r="D9" s="95" t="s">
        <v>147</v>
      </c>
      <c r="E9" s="95" t="s">
        <v>148</v>
      </c>
      <c r="F9" s="1204"/>
      <c r="G9" s="95" t="s">
        <v>147</v>
      </c>
      <c r="H9" s="95" t="s">
        <v>148</v>
      </c>
      <c r="I9" s="855"/>
      <c r="J9" s="913"/>
      <c r="K9" s="855"/>
      <c r="L9" s="448" t="s">
        <v>149</v>
      </c>
      <c r="M9" s="448" t="s">
        <v>150</v>
      </c>
      <c r="N9" s="855"/>
      <c r="O9" s="447" t="s">
        <v>512</v>
      </c>
      <c r="P9" s="372" t="s">
        <v>320</v>
      </c>
      <c r="Q9" s="855"/>
      <c r="R9" s="1204"/>
      <c r="S9" s="855"/>
      <c r="T9" s="243"/>
      <c r="X9" s="394"/>
      <c r="Y9" s="394"/>
    </row>
    <row r="10" spans="1:25" s="56" customFormat="1" ht="15.75">
      <c r="A10" s="1211" t="s">
        <v>323</v>
      </c>
      <c r="B10" s="1212"/>
      <c r="C10" s="449">
        <v>1</v>
      </c>
      <c r="D10" s="449">
        <v>2</v>
      </c>
      <c r="E10" s="449">
        <v>3</v>
      </c>
      <c r="F10" s="449">
        <v>4</v>
      </c>
      <c r="G10" s="449">
        <v>5</v>
      </c>
      <c r="H10" s="449">
        <v>6</v>
      </c>
      <c r="I10" s="372">
        <v>7</v>
      </c>
      <c r="J10" s="449">
        <v>8</v>
      </c>
      <c r="K10" s="372">
        <v>9</v>
      </c>
      <c r="L10" s="450" t="s">
        <v>151</v>
      </c>
      <c r="M10" s="451" t="s">
        <v>152</v>
      </c>
      <c r="N10" s="372">
        <v>12</v>
      </c>
      <c r="O10" s="449">
        <v>13</v>
      </c>
      <c r="P10" s="452" t="s">
        <v>153</v>
      </c>
      <c r="Q10" s="372" t="s">
        <v>154</v>
      </c>
      <c r="R10" s="452" t="s">
        <v>155</v>
      </c>
      <c r="S10" s="453" t="s">
        <v>156</v>
      </c>
      <c r="T10" s="243"/>
      <c r="X10" s="393"/>
      <c r="Y10" s="393"/>
    </row>
    <row r="11" spans="1:25" s="458" customFormat="1" ht="40.5" customHeight="1">
      <c r="A11" s="1198" t="s">
        <v>324</v>
      </c>
      <c r="B11" s="1199"/>
      <c r="C11" s="454">
        <f aca="true" t="shared" si="0" ref="C11:S11">SUM(C12:C74)</f>
        <v>777</v>
      </c>
      <c r="D11" s="454">
        <f t="shared" si="0"/>
        <v>143</v>
      </c>
      <c r="E11" s="454">
        <f t="shared" si="0"/>
        <v>634</v>
      </c>
      <c r="F11" s="455">
        <f t="shared" si="0"/>
        <v>1576</v>
      </c>
      <c r="G11" s="454">
        <f t="shared" si="0"/>
        <v>468</v>
      </c>
      <c r="H11" s="454">
        <f t="shared" si="0"/>
        <v>1108</v>
      </c>
      <c r="I11" s="455">
        <f t="shared" si="0"/>
        <v>1557936</v>
      </c>
      <c r="J11" s="454">
        <f t="shared" si="0"/>
        <v>497979</v>
      </c>
      <c r="K11" s="455">
        <f t="shared" si="0"/>
        <v>1059957</v>
      </c>
      <c r="L11" s="454">
        <f t="shared" si="0"/>
        <v>750154</v>
      </c>
      <c r="M11" s="454">
        <f t="shared" si="0"/>
        <v>309803</v>
      </c>
      <c r="N11" s="456">
        <f t="shared" si="0"/>
        <v>1463696549.5585003</v>
      </c>
      <c r="O11" s="456">
        <f t="shared" si="0"/>
        <v>483985612.7555</v>
      </c>
      <c r="P11" s="456">
        <f t="shared" si="0"/>
        <v>979710936.803</v>
      </c>
      <c r="Q11" s="456">
        <f t="shared" si="0"/>
        <v>986952748.3315</v>
      </c>
      <c r="R11" s="456">
        <f t="shared" si="0"/>
        <v>287136493.79649997</v>
      </c>
      <c r="S11" s="456">
        <f t="shared" si="0"/>
        <v>699816254.5350001</v>
      </c>
      <c r="T11" s="457" t="s">
        <v>157</v>
      </c>
      <c r="X11" s="459"/>
      <c r="Y11" s="459"/>
    </row>
    <row r="12" spans="1:25" s="345" customFormat="1" ht="21.75" customHeight="1">
      <c r="A12" s="59">
        <v>1</v>
      </c>
      <c r="B12" s="69" t="s">
        <v>449</v>
      </c>
      <c r="C12" s="92">
        <f aca="true" t="shared" si="1" ref="C12:C43">D12+E12</f>
        <v>17</v>
      </c>
      <c r="D12" s="28">
        <v>2</v>
      </c>
      <c r="E12" s="28">
        <v>15</v>
      </c>
      <c r="F12" s="92">
        <f aca="true" t="shared" si="2" ref="F12:F43">G12+H12</f>
        <v>28</v>
      </c>
      <c r="G12" s="28">
        <v>7</v>
      </c>
      <c r="H12" s="28">
        <v>21</v>
      </c>
      <c r="I12" s="92">
        <f aca="true" t="shared" si="3" ref="I12:I43">J12+K12</f>
        <v>38973</v>
      </c>
      <c r="J12" s="92">
        <f>K12/4*2</f>
        <v>12991</v>
      </c>
      <c r="K12" s="92">
        <f aca="true" t="shared" si="4" ref="K12:K43">L12+M12</f>
        <v>25982</v>
      </c>
      <c r="L12" s="460">
        <f>6300+612+14617</f>
        <v>21529</v>
      </c>
      <c r="M12" s="460">
        <f>1262+3191</f>
        <v>4453</v>
      </c>
      <c r="N12" s="92">
        <f aca="true" t="shared" si="5" ref="N12:N43">O12+P12</f>
        <v>2780628.1500000004</v>
      </c>
      <c r="O12" s="92">
        <f>P12/4*2</f>
        <v>926876.05</v>
      </c>
      <c r="P12" s="28">
        <v>1853752.1</v>
      </c>
      <c r="Q12" s="92">
        <f aca="true" t="shared" si="6" ref="Q12:Q43">R12+S12</f>
        <v>1696995.75</v>
      </c>
      <c r="R12" s="92">
        <f>S12/4*2</f>
        <v>565665.25</v>
      </c>
      <c r="S12" s="28">
        <v>1131330.5</v>
      </c>
      <c r="T12" s="461" t="s">
        <v>20</v>
      </c>
      <c r="X12" s="430"/>
      <c r="Y12" s="430"/>
    </row>
    <row r="13" spans="1:25" s="345" customFormat="1" ht="21.75" customHeight="1">
      <c r="A13" s="59">
        <v>2</v>
      </c>
      <c r="B13" s="69" t="s">
        <v>450</v>
      </c>
      <c r="C13" s="92">
        <f t="shared" si="1"/>
        <v>18</v>
      </c>
      <c r="D13" s="28">
        <v>3</v>
      </c>
      <c r="E13" s="28">
        <v>15</v>
      </c>
      <c r="F13" s="92">
        <f t="shared" si="2"/>
        <v>28</v>
      </c>
      <c r="G13" s="28">
        <v>12</v>
      </c>
      <c r="H13" s="28">
        <v>16</v>
      </c>
      <c r="I13" s="92">
        <f t="shared" si="3"/>
        <v>37902</v>
      </c>
      <c r="J13" s="92">
        <f>K13/4*2</f>
        <v>12634</v>
      </c>
      <c r="K13" s="92">
        <f t="shared" si="4"/>
        <v>25268</v>
      </c>
      <c r="L13" s="462">
        <f>7998+1966+9934</f>
        <v>19898</v>
      </c>
      <c r="M13" s="462">
        <f>668+4702</f>
        <v>5370</v>
      </c>
      <c r="N13" s="92">
        <f t="shared" si="5"/>
        <v>9312699</v>
      </c>
      <c r="O13" s="92">
        <f>P13/4*2</f>
        <v>3104233</v>
      </c>
      <c r="P13" s="463">
        <v>6208466</v>
      </c>
      <c r="Q13" s="92">
        <f t="shared" si="6"/>
        <v>2250270</v>
      </c>
      <c r="R13" s="92">
        <f>S13/4*2</f>
        <v>750090</v>
      </c>
      <c r="S13" s="463">
        <v>1500180</v>
      </c>
      <c r="T13" s="461"/>
      <c r="X13" s="430"/>
      <c r="Y13" s="430"/>
    </row>
    <row r="14" spans="1:25" s="345" customFormat="1" ht="21.75" customHeight="1">
      <c r="A14" s="59">
        <v>3</v>
      </c>
      <c r="B14" s="69" t="s">
        <v>451</v>
      </c>
      <c r="C14" s="92">
        <f t="shared" si="1"/>
        <v>13</v>
      </c>
      <c r="D14" s="28">
        <v>2</v>
      </c>
      <c r="E14" s="28">
        <v>11</v>
      </c>
      <c r="F14" s="92">
        <f t="shared" si="2"/>
        <v>17</v>
      </c>
      <c r="G14" s="28">
        <v>5</v>
      </c>
      <c r="H14" s="28">
        <v>12</v>
      </c>
      <c r="I14" s="92">
        <f t="shared" si="3"/>
        <v>18945</v>
      </c>
      <c r="J14" s="28">
        <v>6309</v>
      </c>
      <c r="K14" s="144">
        <f t="shared" si="4"/>
        <v>12636</v>
      </c>
      <c r="L14" s="460">
        <f>1751+7592+2489</f>
        <v>11832</v>
      </c>
      <c r="M14" s="460">
        <f>193+611</f>
        <v>804</v>
      </c>
      <c r="N14" s="92">
        <f t="shared" si="5"/>
        <v>4719915.7965</v>
      </c>
      <c r="O14" s="92">
        <f>P14/4*2</f>
        <v>1573305.2655</v>
      </c>
      <c r="P14" s="28">
        <v>3146610.531</v>
      </c>
      <c r="Q14" s="92">
        <f t="shared" si="6"/>
        <v>1533575.1405</v>
      </c>
      <c r="R14" s="92">
        <f>S14/4*2</f>
        <v>511191.7135</v>
      </c>
      <c r="S14" s="28">
        <v>1022383.427</v>
      </c>
      <c r="T14" s="461" t="s">
        <v>158</v>
      </c>
      <c r="X14" s="430"/>
      <c r="Y14" s="430"/>
    </row>
    <row r="15" spans="1:25" s="345" customFormat="1" ht="21.75" customHeight="1">
      <c r="A15" s="59">
        <v>4</v>
      </c>
      <c r="B15" s="69" t="s">
        <v>452</v>
      </c>
      <c r="C15" s="92">
        <f t="shared" si="1"/>
        <v>4</v>
      </c>
      <c r="D15" s="28">
        <v>3</v>
      </c>
      <c r="E15" s="28">
        <v>1</v>
      </c>
      <c r="F15" s="92">
        <f t="shared" si="2"/>
        <v>6</v>
      </c>
      <c r="G15" s="28">
        <v>5</v>
      </c>
      <c r="H15" s="28">
        <v>1</v>
      </c>
      <c r="I15" s="92">
        <f t="shared" si="3"/>
        <v>1593</v>
      </c>
      <c r="J15" s="92">
        <f>K15/4*2</f>
        <v>531</v>
      </c>
      <c r="K15" s="92">
        <f t="shared" si="4"/>
        <v>1062</v>
      </c>
      <c r="L15" s="28">
        <f>248+49+407</f>
        <v>704</v>
      </c>
      <c r="M15" s="28">
        <f>9+349</f>
        <v>358</v>
      </c>
      <c r="N15" s="92">
        <f t="shared" si="5"/>
        <v>379812</v>
      </c>
      <c r="O15" s="92">
        <f>P15/4*2</f>
        <v>126604</v>
      </c>
      <c r="P15" s="28">
        <v>253208</v>
      </c>
      <c r="Q15" s="92">
        <f t="shared" si="6"/>
        <v>189906</v>
      </c>
      <c r="R15" s="92">
        <f>S15/4*2</f>
        <v>63302</v>
      </c>
      <c r="S15" s="28">
        <v>126604</v>
      </c>
      <c r="T15" s="461"/>
      <c r="X15" s="430"/>
      <c r="Y15" s="430"/>
    </row>
    <row r="16" spans="1:25" s="345" customFormat="1" ht="21.75" customHeight="1">
      <c r="A16" s="59">
        <v>5</v>
      </c>
      <c r="B16" s="69" t="s">
        <v>453</v>
      </c>
      <c r="C16" s="92">
        <f t="shared" si="1"/>
        <v>6</v>
      </c>
      <c r="D16" s="28">
        <v>1</v>
      </c>
      <c r="E16" s="28">
        <v>5</v>
      </c>
      <c r="F16" s="92">
        <f t="shared" si="2"/>
        <v>9</v>
      </c>
      <c r="G16" s="28">
        <v>3</v>
      </c>
      <c r="H16" s="28">
        <v>6</v>
      </c>
      <c r="I16" s="92">
        <f t="shared" si="3"/>
        <v>4812</v>
      </c>
      <c r="J16" s="92">
        <f>K16/4*2</f>
        <v>1604</v>
      </c>
      <c r="K16" s="92">
        <f t="shared" si="4"/>
        <v>3208</v>
      </c>
      <c r="L16" s="28">
        <f>902+292+1240</f>
        <v>2434</v>
      </c>
      <c r="M16" s="28">
        <f>284+490</f>
        <v>774</v>
      </c>
      <c r="N16" s="92">
        <f t="shared" si="5"/>
        <v>1061078</v>
      </c>
      <c r="O16" s="28">
        <v>353699</v>
      </c>
      <c r="P16" s="28">
        <v>707379</v>
      </c>
      <c r="Q16" s="92">
        <f t="shared" si="6"/>
        <v>215733</v>
      </c>
      <c r="R16" s="92">
        <f>S16/4*2</f>
        <v>71911</v>
      </c>
      <c r="S16" s="28">
        <v>143822</v>
      </c>
      <c r="T16" s="461"/>
      <c r="X16" s="430"/>
      <c r="Y16" s="430"/>
    </row>
    <row r="17" spans="1:25" s="345" customFormat="1" ht="21.75" customHeight="1">
      <c r="A17" s="59">
        <v>6</v>
      </c>
      <c r="B17" s="69" t="s">
        <v>454</v>
      </c>
      <c r="C17" s="92">
        <f t="shared" si="1"/>
        <v>14</v>
      </c>
      <c r="D17" s="28">
        <v>3</v>
      </c>
      <c r="E17" s="28">
        <v>11</v>
      </c>
      <c r="F17" s="92">
        <f t="shared" si="2"/>
        <v>21</v>
      </c>
      <c r="G17" s="28">
        <v>6</v>
      </c>
      <c r="H17" s="28">
        <v>15</v>
      </c>
      <c r="I17" s="92">
        <f t="shared" si="3"/>
        <v>21751</v>
      </c>
      <c r="J17" s="28">
        <v>5438</v>
      </c>
      <c r="K17" s="92">
        <f t="shared" si="4"/>
        <v>16313</v>
      </c>
      <c r="L17" s="28">
        <f>4242+1353+5738</f>
        <v>11333</v>
      </c>
      <c r="M17" s="28">
        <f>819+4161</f>
        <v>4980</v>
      </c>
      <c r="N17" s="92">
        <f t="shared" si="5"/>
        <v>6185685.093</v>
      </c>
      <c r="O17" s="28">
        <v>1546421.273</v>
      </c>
      <c r="P17" s="28">
        <v>4639263.82</v>
      </c>
      <c r="Q17" s="92">
        <f t="shared" si="6"/>
        <v>906221.48</v>
      </c>
      <c r="R17" s="28">
        <v>226555.37</v>
      </c>
      <c r="S17" s="28">
        <v>679666.11</v>
      </c>
      <c r="T17" s="461"/>
      <c r="X17" s="430"/>
      <c r="Y17" s="430"/>
    </row>
    <row r="18" spans="1:25" s="345" customFormat="1" ht="21.75" customHeight="1">
      <c r="A18" s="59">
        <v>7</v>
      </c>
      <c r="B18" s="69" t="s">
        <v>455</v>
      </c>
      <c r="C18" s="92">
        <f t="shared" si="1"/>
        <v>8</v>
      </c>
      <c r="D18" s="28">
        <v>1</v>
      </c>
      <c r="E18" s="28">
        <v>7</v>
      </c>
      <c r="F18" s="92">
        <f t="shared" si="2"/>
        <v>12</v>
      </c>
      <c r="G18" s="28">
        <v>5</v>
      </c>
      <c r="H18" s="28">
        <v>7</v>
      </c>
      <c r="I18" s="92">
        <f t="shared" si="3"/>
        <v>16133</v>
      </c>
      <c r="J18" s="28">
        <v>5376</v>
      </c>
      <c r="K18" s="92">
        <f t="shared" si="4"/>
        <v>10757</v>
      </c>
      <c r="L18" s="28">
        <f>2281+1191+4285</f>
        <v>7757</v>
      </c>
      <c r="M18" s="28">
        <f>245+2755</f>
        <v>3000</v>
      </c>
      <c r="N18" s="92">
        <f t="shared" si="5"/>
        <v>2525430</v>
      </c>
      <c r="O18" s="92">
        <f>P18/4*2</f>
        <v>841810</v>
      </c>
      <c r="P18" s="28">
        <v>1683620</v>
      </c>
      <c r="Q18" s="92">
        <f t="shared" si="6"/>
        <v>680337</v>
      </c>
      <c r="R18" s="28">
        <v>226768</v>
      </c>
      <c r="S18" s="28">
        <v>453569</v>
      </c>
      <c r="T18" s="461"/>
      <c r="X18" s="430"/>
      <c r="Y18" s="430"/>
    </row>
    <row r="19" spans="1:25" s="345" customFormat="1" ht="21.75" customHeight="1">
      <c r="A19" s="59">
        <v>8</v>
      </c>
      <c r="B19" s="69" t="s">
        <v>456</v>
      </c>
      <c r="C19" s="92">
        <f t="shared" si="1"/>
        <v>11</v>
      </c>
      <c r="D19" s="28">
        <v>3</v>
      </c>
      <c r="E19" s="28">
        <v>8</v>
      </c>
      <c r="F19" s="92">
        <f t="shared" si="2"/>
        <v>14</v>
      </c>
      <c r="G19" s="28">
        <v>6</v>
      </c>
      <c r="H19" s="28">
        <v>8</v>
      </c>
      <c r="I19" s="92">
        <f t="shared" si="3"/>
        <v>14790</v>
      </c>
      <c r="J19" s="92">
        <f>K19/4*2</f>
        <v>4930</v>
      </c>
      <c r="K19" s="92">
        <f t="shared" si="4"/>
        <v>9860</v>
      </c>
      <c r="L19" s="28">
        <v>3570</v>
      </c>
      <c r="M19" s="28">
        <f>3465+1470+1117+238</f>
        <v>6290</v>
      </c>
      <c r="N19" s="92">
        <f t="shared" si="5"/>
        <v>3456208.5</v>
      </c>
      <c r="O19" s="92">
        <f>P19/4*2</f>
        <v>1152069.5</v>
      </c>
      <c r="P19" s="28">
        <v>2304139</v>
      </c>
      <c r="Q19" s="92">
        <f t="shared" si="6"/>
        <v>1473972</v>
      </c>
      <c r="R19" s="92">
        <v>624657</v>
      </c>
      <c r="S19" s="28">
        <v>849315</v>
      </c>
      <c r="T19" s="461"/>
      <c r="X19" s="430"/>
      <c r="Y19" s="430"/>
    </row>
    <row r="20" spans="1:25" s="345" customFormat="1" ht="21.75" customHeight="1">
      <c r="A20" s="59">
        <v>9</v>
      </c>
      <c r="B20" s="69" t="s">
        <v>457</v>
      </c>
      <c r="C20" s="92">
        <f t="shared" si="1"/>
        <v>19</v>
      </c>
      <c r="D20" s="28">
        <v>2</v>
      </c>
      <c r="E20" s="28">
        <v>17</v>
      </c>
      <c r="F20" s="92">
        <f t="shared" si="2"/>
        <v>33</v>
      </c>
      <c r="G20" s="28">
        <v>6</v>
      </c>
      <c r="H20" s="28">
        <v>27</v>
      </c>
      <c r="I20" s="92">
        <f t="shared" si="3"/>
        <v>55095</v>
      </c>
      <c r="J20" s="28">
        <v>18361</v>
      </c>
      <c r="K20" s="92">
        <f t="shared" si="4"/>
        <v>36734</v>
      </c>
      <c r="L20" s="28">
        <f>11131+3565+9599</f>
        <v>24295</v>
      </c>
      <c r="M20" s="28">
        <f>593+11846</f>
        <v>12439</v>
      </c>
      <c r="N20" s="92">
        <f t="shared" si="5"/>
        <v>16251598</v>
      </c>
      <c r="O20" s="92">
        <v>5431607</v>
      </c>
      <c r="P20" s="28">
        <v>10819991</v>
      </c>
      <c r="Q20" s="92">
        <f t="shared" si="6"/>
        <v>4779304</v>
      </c>
      <c r="R20" s="92">
        <v>1567653</v>
      </c>
      <c r="S20" s="28">
        <v>3211651</v>
      </c>
      <c r="T20" s="461"/>
      <c r="X20" s="430"/>
      <c r="Y20" s="430"/>
    </row>
    <row r="21" spans="1:25" s="345" customFormat="1" ht="21.75" customHeight="1">
      <c r="A21" s="59">
        <v>10</v>
      </c>
      <c r="B21" s="69" t="s">
        <v>362</v>
      </c>
      <c r="C21" s="92">
        <f t="shared" si="1"/>
        <v>15</v>
      </c>
      <c r="D21" s="28">
        <v>3</v>
      </c>
      <c r="E21" s="28">
        <v>12</v>
      </c>
      <c r="F21" s="144">
        <f t="shared" si="2"/>
        <v>20</v>
      </c>
      <c r="G21" s="28">
        <v>5</v>
      </c>
      <c r="H21" s="28">
        <v>15</v>
      </c>
      <c r="I21" s="92">
        <f t="shared" si="3"/>
        <v>37159.5</v>
      </c>
      <c r="J21" s="145">
        <f aca="true" t="shared" si="7" ref="J21:J27">K21/4*2</f>
        <v>12386.5</v>
      </c>
      <c r="K21" s="144">
        <f t="shared" si="4"/>
        <v>24773</v>
      </c>
      <c r="L21" s="28">
        <f>1143+2334+240+1116+2737+11850</f>
        <v>19420</v>
      </c>
      <c r="M21" s="28">
        <f>100+300+978+3975</f>
        <v>5353</v>
      </c>
      <c r="N21" s="92">
        <f t="shared" si="5"/>
        <v>11779608.8</v>
      </c>
      <c r="O21" s="145">
        <v>5431607</v>
      </c>
      <c r="P21" s="144">
        <f>1431690+4916311.8</f>
        <v>6348001.8</v>
      </c>
      <c r="Q21" s="92">
        <f t="shared" si="6"/>
        <v>1823124.0690000001</v>
      </c>
      <c r="R21" s="145">
        <f>S21/4*2</f>
        <v>607708.023</v>
      </c>
      <c r="S21" s="144">
        <f>715815+499601.046</f>
        <v>1215416.046</v>
      </c>
      <c r="T21" s="86" t="s">
        <v>159</v>
      </c>
      <c r="X21" s="430"/>
      <c r="Y21" s="430"/>
    </row>
    <row r="22" spans="1:25" s="345" customFormat="1" ht="21.75" customHeight="1">
      <c r="A22" s="59">
        <v>11</v>
      </c>
      <c r="B22" s="69" t="s">
        <v>363</v>
      </c>
      <c r="C22" s="92">
        <f t="shared" si="1"/>
        <v>8</v>
      </c>
      <c r="D22" s="28">
        <v>1</v>
      </c>
      <c r="E22" s="28">
        <v>7</v>
      </c>
      <c r="F22" s="92">
        <f t="shared" si="2"/>
        <v>13</v>
      </c>
      <c r="G22" s="28">
        <v>4</v>
      </c>
      <c r="H22" s="28">
        <v>9</v>
      </c>
      <c r="I22" s="92">
        <f t="shared" si="3"/>
        <v>15703.5</v>
      </c>
      <c r="J22" s="92">
        <f t="shared" si="7"/>
        <v>5234.5</v>
      </c>
      <c r="K22" s="92">
        <f t="shared" si="4"/>
        <v>10469</v>
      </c>
      <c r="L22" s="28">
        <f>3638+2041+2806</f>
        <v>8485</v>
      </c>
      <c r="M22" s="28">
        <f>303+1681</f>
        <v>1984</v>
      </c>
      <c r="N22" s="92">
        <f t="shared" si="5"/>
        <v>2501007</v>
      </c>
      <c r="O22" s="92">
        <f aca="true" t="shared" si="8" ref="O22:O27">P22/4*2</f>
        <v>833669</v>
      </c>
      <c r="P22" s="28">
        <v>1667338</v>
      </c>
      <c r="Q22" s="92">
        <f t="shared" si="6"/>
        <v>976794</v>
      </c>
      <c r="R22" s="92">
        <f>S22/4*2</f>
        <v>325598</v>
      </c>
      <c r="S22" s="28">
        <v>651196</v>
      </c>
      <c r="T22" s="461"/>
      <c r="X22" s="430"/>
      <c r="Y22" s="430"/>
    </row>
    <row r="23" spans="1:25" s="345" customFormat="1" ht="21.75" customHeight="1">
      <c r="A23" s="59">
        <v>12</v>
      </c>
      <c r="B23" s="69" t="s">
        <v>364</v>
      </c>
      <c r="C23" s="92">
        <f t="shared" si="1"/>
        <v>5</v>
      </c>
      <c r="D23" s="28">
        <v>1</v>
      </c>
      <c r="E23" s="28">
        <v>4</v>
      </c>
      <c r="F23" s="92">
        <f t="shared" si="2"/>
        <v>9</v>
      </c>
      <c r="G23" s="28">
        <v>4</v>
      </c>
      <c r="H23" s="28">
        <v>5</v>
      </c>
      <c r="I23" s="92">
        <f t="shared" si="3"/>
        <v>9897</v>
      </c>
      <c r="J23" s="92">
        <f t="shared" si="7"/>
        <v>3299</v>
      </c>
      <c r="K23" s="92">
        <f t="shared" si="4"/>
        <v>6598</v>
      </c>
      <c r="L23" s="28">
        <f>1832+1169+2466</f>
        <v>5467</v>
      </c>
      <c r="M23" s="28">
        <f>119+1012</f>
        <v>1131</v>
      </c>
      <c r="N23" s="92">
        <f t="shared" si="5"/>
        <v>2497505.7750000004</v>
      </c>
      <c r="O23" s="92">
        <f t="shared" si="8"/>
        <v>832501.925</v>
      </c>
      <c r="P23" s="28">
        <v>1665003.85</v>
      </c>
      <c r="Q23" s="92">
        <f t="shared" si="6"/>
        <v>774082.1055000001</v>
      </c>
      <c r="R23" s="92">
        <f>S23/4*2</f>
        <v>258027.3685</v>
      </c>
      <c r="S23" s="28">
        <v>516054.737</v>
      </c>
      <c r="T23" s="461"/>
      <c r="X23" s="430"/>
      <c r="Y23" s="430"/>
    </row>
    <row r="24" spans="1:25" s="345" customFormat="1" ht="21.75" customHeight="1">
      <c r="A24" s="59">
        <v>13</v>
      </c>
      <c r="B24" s="69" t="s">
        <v>365</v>
      </c>
      <c r="C24" s="92">
        <f t="shared" si="1"/>
        <v>18</v>
      </c>
      <c r="D24" s="28">
        <v>2</v>
      </c>
      <c r="E24" s="28">
        <v>16</v>
      </c>
      <c r="F24" s="92">
        <f t="shared" si="2"/>
        <v>30</v>
      </c>
      <c r="G24" s="28">
        <v>9</v>
      </c>
      <c r="H24" s="28">
        <v>21</v>
      </c>
      <c r="I24" s="92">
        <f t="shared" si="3"/>
        <v>23730</v>
      </c>
      <c r="J24" s="92">
        <f t="shared" si="7"/>
        <v>7910</v>
      </c>
      <c r="K24" s="92">
        <f t="shared" si="4"/>
        <v>15820</v>
      </c>
      <c r="L24" s="28">
        <f>3598+2581+4635</f>
        <v>10814</v>
      </c>
      <c r="M24" s="28">
        <f>1108+3898</f>
        <v>5006</v>
      </c>
      <c r="N24" s="92">
        <f t="shared" si="5"/>
        <v>6480696.195</v>
      </c>
      <c r="O24" s="92">
        <f t="shared" si="8"/>
        <v>2160232.065</v>
      </c>
      <c r="P24" s="28">
        <v>4320464.13</v>
      </c>
      <c r="Q24" s="92">
        <f t="shared" si="6"/>
        <v>1955524.0215000003</v>
      </c>
      <c r="R24" s="92">
        <f>S24/4*2</f>
        <v>651841.3405</v>
      </c>
      <c r="S24" s="28">
        <v>1303682.681</v>
      </c>
      <c r="T24" s="461"/>
      <c r="X24" s="430"/>
      <c r="Y24" s="430"/>
    </row>
    <row r="25" spans="1:25" s="345" customFormat="1" ht="21.75" customHeight="1">
      <c r="A25" s="59">
        <v>14</v>
      </c>
      <c r="B25" s="69" t="s">
        <v>366</v>
      </c>
      <c r="C25" s="92">
        <f t="shared" si="1"/>
        <v>3</v>
      </c>
      <c r="D25" s="28">
        <v>1</v>
      </c>
      <c r="E25" s="28">
        <v>2</v>
      </c>
      <c r="F25" s="92">
        <f t="shared" si="2"/>
        <v>5</v>
      </c>
      <c r="G25" s="28">
        <v>3</v>
      </c>
      <c r="H25" s="28">
        <v>2</v>
      </c>
      <c r="I25" s="92">
        <f t="shared" si="3"/>
        <v>943.5</v>
      </c>
      <c r="J25" s="92">
        <f t="shared" si="7"/>
        <v>314.5</v>
      </c>
      <c r="K25" s="92">
        <f t="shared" si="4"/>
        <v>629</v>
      </c>
      <c r="L25" s="28">
        <f>167+53+278</f>
        <v>498</v>
      </c>
      <c r="M25" s="28">
        <f>33+98</f>
        <v>131</v>
      </c>
      <c r="N25" s="92">
        <f t="shared" si="5"/>
        <v>541486.5</v>
      </c>
      <c r="O25" s="92">
        <f t="shared" si="8"/>
        <v>180495.5</v>
      </c>
      <c r="P25" s="28">
        <v>360991</v>
      </c>
      <c r="Q25" s="92">
        <f t="shared" si="6"/>
        <v>72128</v>
      </c>
      <c r="R25" s="28">
        <v>24045</v>
      </c>
      <c r="S25" s="28">
        <v>48083</v>
      </c>
      <c r="T25" s="461"/>
      <c r="X25" s="430"/>
      <c r="Y25" s="430"/>
    </row>
    <row r="26" spans="1:25" s="345" customFormat="1" ht="21.75" customHeight="1">
      <c r="A26" s="59">
        <v>15</v>
      </c>
      <c r="B26" s="69" t="s">
        <v>367</v>
      </c>
      <c r="C26" s="92">
        <f t="shared" si="1"/>
        <v>12</v>
      </c>
      <c r="D26" s="28">
        <v>3</v>
      </c>
      <c r="E26" s="28">
        <v>9</v>
      </c>
      <c r="F26" s="92">
        <f t="shared" si="2"/>
        <v>33</v>
      </c>
      <c r="G26" s="28">
        <v>18</v>
      </c>
      <c r="H26" s="28">
        <v>15</v>
      </c>
      <c r="I26" s="92">
        <f t="shared" si="3"/>
        <v>37111.5</v>
      </c>
      <c r="J26" s="92">
        <f t="shared" si="7"/>
        <v>12370.5</v>
      </c>
      <c r="K26" s="92">
        <f t="shared" si="4"/>
        <v>24741</v>
      </c>
      <c r="L26" s="28">
        <f>9413+2167+7799</f>
        <v>19379</v>
      </c>
      <c r="M26" s="28">
        <f>724+4638</f>
        <v>5362</v>
      </c>
      <c r="N26" s="92">
        <f t="shared" si="5"/>
        <v>5535985.995</v>
      </c>
      <c r="O26" s="92">
        <f t="shared" si="8"/>
        <v>1845328.665</v>
      </c>
      <c r="P26" s="28">
        <v>3690657.33</v>
      </c>
      <c r="Q26" s="92">
        <f t="shared" si="6"/>
        <v>1449782.367</v>
      </c>
      <c r="R26" s="92">
        <f>S26/4*2</f>
        <v>483260.789</v>
      </c>
      <c r="S26" s="28">
        <v>966521.578</v>
      </c>
      <c r="T26" s="461"/>
      <c r="X26" s="430"/>
      <c r="Y26" s="430"/>
    </row>
    <row r="27" spans="1:25" s="345" customFormat="1" ht="21.75" customHeight="1">
      <c r="A27" s="59">
        <v>16</v>
      </c>
      <c r="B27" s="69" t="s">
        <v>368</v>
      </c>
      <c r="C27" s="92">
        <f t="shared" si="1"/>
        <v>12</v>
      </c>
      <c r="D27" s="28">
        <v>3</v>
      </c>
      <c r="E27" s="28">
        <v>9</v>
      </c>
      <c r="F27" s="92">
        <f t="shared" si="2"/>
        <v>16</v>
      </c>
      <c r="G27" s="28">
        <v>4</v>
      </c>
      <c r="H27" s="28">
        <v>12</v>
      </c>
      <c r="I27" s="92">
        <f t="shared" si="3"/>
        <v>48307.5</v>
      </c>
      <c r="J27" s="92">
        <f t="shared" si="7"/>
        <v>16102.5</v>
      </c>
      <c r="K27" s="92">
        <f t="shared" si="4"/>
        <v>32205</v>
      </c>
      <c r="L27" s="28">
        <f>6028+2882+18772</f>
        <v>27682</v>
      </c>
      <c r="M27" s="28">
        <f>646+3877</f>
        <v>4523</v>
      </c>
      <c r="N27" s="92">
        <f t="shared" si="5"/>
        <v>8522742.617999999</v>
      </c>
      <c r="O27" s="92">
        <f t="shared" si="8"/>
        <v>2840914.206</v>
      </c>
      <c r="P27" s="28">
        <v>5681828.412</v>
      </c>
      <c r="Q27" s="92">
        <f t="shared" si="6"/>
        <v>1897051.4535</v>
      </c>
      <c r="R27" s="92">
        <f>S27/4*2</f>
        <v>632350.4845</v>
      </c>
      <c r="S27" s="28">
        <v>1264700.969</v>
      </c>
      <c r="T27" s="461"/>
      <c r="X27" s="430"/>
      <c r="Y27" s="430"/>
    </row>
    <row r="28" spans="1:25" s="345" customFormat="1" ht="21.75" customHeight="1">
      <c r="A28" s="59">
        <v>17</v>
      </c>
      <c r="B28" s="69" t="s">
        <v>369</v>
      </c>
      <c r="C28" s="92">
        <f t="shared" si="1"/>
        <v>5</v>
      </c>
      <c r="D28" s="28">
        <v>2</v>
      </c>
      <c r="E28" s="28">
        <v>3</v>
      </c>
      <c r="F28" s="92">
        <f t="shared" si="2"/>
        <v>9</v>
      </c>
      <c r="G28" s="28">
        <v>6</v>
      </c>
      <c r="H28" s="28">
        <v>3</v>
      </c>
      <c r="I28" s="92">
        <f t="shared" si="3"/>
        <v>10249</v>
      </c>
      <c r="J28" s="28">
        <v>3366</v>
      </c>
      <c r="K28" s="92">
        <f t="shared" si="4"/>
        <v>6883</v>
      </c>
      <c r="L28" s="28">
        <f>1854+59+4059</f>
        <v>5972</v>
      </c>
      <c r="M28" s="28">
        <f>143+768</f>
        <v>911</v>
      </c>
      <c r="N28" s="92">
        <f t="shared" si="5"/>
        <v>1987893.8</v>
      </c>
      <c r="O28" s="28">
        <v>590900</v>
      </c>
      <c r="P28" s="28">
        <v>1396993.8</v>
      </c>
      <c r="Q28" s="92">
        <f t="shared" si="6"/>
        <v>452907.444</v>
      </c>
      <c r="R28" s="28">
        <v>142714</v>
      </c>
      <c r="S28" s="28">
        <v>310193.444</v>
      </c>
      <c r="T28" s="461"/>
      <c r="X28" s="430"/>
      <c r="Y28" s="430"/>
    </row>
    <row r="29" spans="1:25" s="345" customFormat="1" ht="21.75" customHeight="1">
      <c r="A29" s="59">
        <v>18</v>
      </c>
      <c r="B29" s="69" t="s">
        <v>370</v>
      </c>
      <c r="C29" s="92">
        <f t="shared" si="1"/>
        <v>3</v>
      </c>
      <c r="D29" s="28">
        <v>1</v>
      </c>
      <c r="E29" s="28">
        <v>2</v>
      </c>
      <c r="F29" s="92">
        <f t="shared" si="2"/>
        <v>5</v>
      </c>
      <c r="G29" s="28">
        <v>3</v>
      </c>
      <c r="H29" s="28">
        <v>2</v>
      </c>
      <c r="I29" s="92">
        <f t="shared" si="3"/>
        <v>1944</v>
      </c>
      <c r="J29" s="92">
        <f>K29/4*2</f>
        <v>648</v>
      </c>
      <c r="K29" s="92">
        <f t="shared" si="4"/>
        <v>1296</v>
      </c>
      <c r="L29" s="28">
        <f>228+66+671</f>
        <v>965</v>
      </c>
      <c r="M29" s="28">
        <f>14+317</f>
        <v>331</v>
      </c>
      <c r="N29" s="92">
        <f t="shared" si="5"/>
        <v>763307700</v>
      </c>
      <c r="O29" s="92">
        <f>P29/4*2</f>
        <v>254435900</v>
      </c>
      <c r="P29" s="464">
        <v>508871800</v>
      </c>
      <c r="Q29" s="314">
        <f t="shared" si="6"/>
        <v>123903238</v>
      </c>
      <c r="R29" s="28">
        <v>61920</v>
      </c>
      <c r="S29" s="314">
        <v>123841318</v>
      </c>
      <c r="T29" s="461" t="s">
        <v>160</v>
      </c>
      <c r="X29" s="430"/>
      <c r="Y29" s="430"/>
    </row>
    <row r="30" spans="1:25" s="345" customFormat="1" ht="21.75" customHeight="1">
      <c r="A30" s="59">
        <v>19</v>
      </c>
      <c r="B30" s="70" t="s">
        <v>371</v>
      </c>
      <c r="C30" s="92">
        <f t="shared" si="1"/>
        <v>24</v>
      </c>
      <c r="D30" s="28">
        <v>4</v>
      </c>
      <c r="E30" s="28">
        <v>20</v>
      </c>
      <c r="F30" s="92">
        <f t="shared" si="2"/>
        <v>39</v>
      </c>
      <c r="G30" s="28">
        <v>14</v>
      </c>
      <c r="H30" s="28">
        <v>25</v>
      </c>
      <c r="I30" s="92">
        <f t="shared" si="3"/>
        <v>60069</v>
      </c>
      <c r="J30" s="28">
        <v>9721</v>
      </c>
      <c r="K30" s="144">
        <f t="shared" si="4"/>
        <v>50348</v>
      </c>
      <c r="L30" s="28">
        <f>14963+5930+16593</f>
        <v>37486</v>
      </c>
      <c r="M30" s="28">
        <f>2497+10365</f>
        <v>12862</v>
      </c>
      <c r="N30" s="92">
        <f t="shared" si="5"/>
        <v>13028053</v>
      </c>
      <c r="O30" s="28">
        <v>2114225</v>
      </c>
      <c r="P30" s="28">
        <v>10913828</v>
      </c>
      <c r="Q30" s="92">
        <f t="shared" si="6"/>
        <v>2166190</v>
      </c>
      <c r="R30" s="28">
        <v>399602</v>
      </c>
      <c r="S30" s="28">
        <v>1766588</v>
      </c>
      <c r="T30" s="461" t="s">
        <v>161</v>
      </c>
      <c r="X30" s="430"/>
      <c r="Y30" s="430"/>
    </row>
    <row r="31" spans="1:25" s="345" customFormat="1" ht="21.75" customHeight="1">
      <c r="A31" s="59">
        <v>20</v>
      </c>
      <c r="B31" s="70" t="s">
        <v>372</v>
      </c>
      <c r="C31" s="92">
        <f t="shared" si="1"/>
        <v>9</v>
      </c>
      <c r="D31" s="28">
        <v>3</v>
      </c>
      <c r="E31" s="28">
        <v>6</v>
      </c>
      <c r="F31" s="92">
        <f t="shared" si="2"/>
        <v>23</v>
      </c>
      <c r="G31" s="28">
        <v>8</v>
      </c>
      <c r="H31" s="28">
        <v>15</v>
      </c>
      <c r="I31" s="92">
        <f t="shared" si="3"/>
        <v>20449.5</v>
      </c>
      <c r="J31" s="92">
        <f>K31/4*2</f>
        <v>6816.5</v>
      </c>
      <c r="K31" s="92">
        <f t="shared" si="4"/>
        <v>13633</v>
      </c>
      <c r="L31" s="28">
        <f>2321+2609+4989</f>
        <v>9919</v>
      </c>
      <c r="M31" s="28">
        <f>618+3096</f>
        <v>3714</v>
      </c>
      <c r="N31" s="92">
        <f t="shared" si="5"/>
        <v>3947237</v>
      </c>
      <c r="O31" s="28">
        <v>1249079</v>
      </c>
      <c r="P31" s="28">
        <v>2698158</v>
      </c>
      <c r="Q31" s="92">
        <f t="shared" si="6"/>
        <v>1715869.5</v>
      </c>
      <c r="R31" s="92">
        <f>S31/4*2</f>
        <v>571956.5</v>
      </c>
      <c r="S31" s="28">
        <v>1143913</v>
      </c>
      <c r="T31" s="461"/>
      <c r="X31" s="430"/>
      <c r="Y31" s="430"/>
    </row>
    <row r="32" spans="1:25" s="345" customFormat="1" ht="21.75" customHeight="1">
      <c r="A32" s="59">
        <v>21</v>
      </c>
      <c r="B32" s="70" t="s">
        <v>373</v>
      </c>
      <c r="C32" s="92">
        <f t="shared" si="1"/>
        <v>9</v>
      </c>
      <c r="D32" s="28">
        <v>3</v>
      </c>
      <c r="E32" s="28">
        <v>6</v>
      </c>
      <c r="F32" s="92">
        <f t="shared" si="2"/>
        <v>16</v>
      </c>
      <c r="G32" s="28">
        <v>8</v>
      </c>
      <c r="H32" s="28">
        <v>8</v>
      </c>
      <c r="I32" s="92">
        <f t="shared" si="3"/>
        <v>23618</v>
      </c>
      <c r="J32" s="28">
        <v>7884</v>
      </c>
      <c r="K32" s="144">
        <f t="shared" si="4"/>
        <v>15734</v>
      </c>
      <c r="L32" s="28">
        <f>3750+786+8930</f>
        <v>13466</v>
      </c>
      <c r="M32" s="28">
        <f>436+1832</f>
        <v>2268</v>
      </c>
      <c r="N32" s="92">
        <f t="shared" si="5"/>
        <v>6308182.5</v>
      </c>
      <c r="O32" s="92">
        <f>P32/4*2</f>
        <v>2102727.5</v>
      </c>
      <c r="P32" s="28">
        <v>4205455</v>
      </c>
      <c r="Q32" s="92">
        <f t="shared" si="6"/>
        <v>1705923</v>
      </c>
      <c r="R32" s="92">
        <f>S32/4*2</f>
        <v>568641</v>
      </c>
      <c r="S32" s="28">
        <v>1137282</v>
      </c>
      <c r="T32" s="461" t="s">
        <v>162</v>
      </c>
      <c r="X32" s="430"/>
      <c r="Y32" s="430"/>
    </row>
    <row r="33" spans="1:25" s="345" customFormat="1" ht="21.75" customHeight="1">
      <c r="A33" s="59">
        <v>22</v>
      </c>
      <c r="B33" s="70" t="s">
        <v>374</v>
      </c>
      <c r="C33" s="92">
        <f t="shared" si="1"/>
        <v>4</v>
      </c>
      <c r="D33" s="28">
        <v>1</v>
      </c>
      <c r="E33" s="28">
        <v>3</v>
      </c>
      <c r="F33" s="92">
        <f t="shared" si="2"/>
        <v>4</v>
      </c>
      <c r="G33" s="28">
        <v>1</v>
      </c>
      <c r="H33" s="28">
        <v>3</v>
      </c>
      <c r="I33" s="92">
        <f t="shared" si="3"/>
        <v>2683.5</v>
      </c>
      <c r="J33" s="92">
        <f>K33/4*2</f>
        <v>894.5</v>
      </c>
      <c r="K33" s="92">
        <f t="shared" si="4"/>
        <v>1789</v>
      </c>
      <c r="L33" s="28">
        <f>692+45+781</f>
        <v>1518</v>
      </c>
      <c r="M33" s="28">
        <f>35+236</f>
        <v>271</v>
      </c>
      <c r="N33" s="92">
        <f t="shared" si="5"/>
        <v>770361</v>
      </c>
      <c r="O33" s="92">
        <f>P33/4*2</f>
        <v>256787</v>
      </c>
      <c r="P33" s="28">
        <v>513574</v>
      </c>
      <c r="Q33" s="92">
        <f t="shared" si="6"/>
        <v>237561</v>
      </c>
      <c r="R33" s="92">
        <f>S33/4*2</f>
        <v>79187</v>
      </c>
      <c r="S33" s="28">
        <v>158374</v>
      </c>
      <c r="T33" s="461"/>
      <c r="X33" s="430"/>
      <c r="Y33" s="430"/>
    </row>
    <row r="34" spans="1:25" s="345" customFormat="1" ht="21.75" customHeight="1">
      <c r="A34" s="59">
        <v>23</v>
      </c>
      <c r="B34" s="70" t="s">
        <v>375</v>
      </c>
      <c r="C34" s="92">
        <f t="shared" si="1"/>
        <v>8</v>
      </c>
      <c r="D34" s="28">
        <v>4</v>
      </c>
      <c r="E34" s="28">
        <v>4</v>
      </c>
      <c r="F34" s="92">
        <f t="shared" si="2"/>
        <v>12</v>
      </c>
      <c r="G34" s="28">
        <v>6</v>
      </c>
      <c r="H34" s="28">
        <v>6</v>
      </c>
      <c r="I34" s="92">
        <f t="shared" si="3"/>
        <v>5833.5</v>
      </c>
      <c r="J34" s="145">
        <f>K34/4*2</f>
        <v>1944.5</v>
      </c>
      <c r="K34" s="92">
        <f t="shared" si="4"/>
        <v>3889</v>
      </c>
      <c r="L34" s="28">
        <f>955+137+1610</f>
        <v>2702</v>
      </c>
      <c r="M34" s="28">
        <f>155+1032</f>
        <v>1187</v>
      </c>
      <c r="N34" s="92">
        <f t="shared" si="5"/>
        <v>1109863</v>
      </c>
      <c r="O34" s="28">
        <v>350000</v>
      </c>
      <c r="P34" s="28">
        <v>759863</v>
      </c>
      <c r="Q34" s="92">
        <f t="shared" si="6"/>
        <v>330869.5</v>
      </c>
      <c r="R34" s="28">
        <v>110000</v>
      </c>
      <c r="S34" s="28">
        <v>220869.5</v>
      </c>
      <c r="T34" s="461"/>
      <c r="X34" s="430"/>
      <c r="Y34" s="430"/>
    </row>
    <row r="35" spans="1:25" s="345" customFormat="1" ht="21.75" customHeight="1">
      <c r="A35" s="59">
        <v>24</v>
      </c>
      <c r="B35" s="70" t="s">
        <v>376</v>
      </c>
      <c r="C35" s="92">
        <f t="shared" si="1"/>
        <v>103</v>
      </c>
      <c r="D35" s="28">
        <v>10</v>
      </c>
      <c r="E35" s="28">
        <v>93</v>
      </c>
      <c r="F35" s="92">
        <f t="shared" si="2"/>
        <v>340</v>
      </c>
      <c r="G35" s="28">
        <v>70</v>
      </c>
      <c r="H35" s="28">
        <v>270</v>
      </c>
      <c r="I35" s="92">
        <f t="shared" si="3"/>
        <v>104293.5</v>
      </c>
      <c r="J35" s="92">
        <f>K35/4*2</f>
        <v>34764.5</v>
      </c>
      <c r="K35" s="92">
        <f t="shared" si="4"/>
        <v>69529</v>
      </c>
      <c r="L35" s="28">
        <f>22161+3755+19756</f>
        <v>45672</v>
      </c>
      <c r="M35" s="28">
        <f>3642+20215</f>
        <v>23857</v>
      </c>
      <c r="N35" s="92">
        <f t="shared" si="5"/>
        <v>53746690.349999994</v>
      </c>
      <c r="O35" s="92">
        <f>P35/4*2</f>
        <v>17915563.45</v>
      </c>
      <c r="P35" s="28">
        <v>35831126.9</v>
      </c>
      <c r="Q35" s="92">
        <f t="shared" si="6"/>
        <v>9135134.25</v>
      </c>
      <c r="R35" s="92">
        <f>S35/4*2</f>
        <v>3045044.75</v>
      </c>
      <c r="S35" s="28">
        <v>6090089.5</v>
      </c>
      <c r="T35" s="461"/>
      <c r="X35" s="430"/>
      <c r="Y35" s="430"/>
    </row>
    <row r="36" spans="1:25" s="345" customFormat="1" ht="21.75" customHeight="1">
      <c r="A36" s="59">
        <v>25</v>
      </c>
      <c r="B36" s="70" t="s">
        <v>377</v>
      </c>
      <c r="C36" s="92">
        <f t="shared" si="1"/>
        <v>6</v>
      </c>
      <c r="D36" s="28">
        <v>2</v>
      </c>
      <c r="E36" s="28">
        <v>4</v>
      </c>
      <c r="F36" s="92">
        <f t="shared" si="2"/>
        <v>10</v>
      </c>
      <c r="G36" s="28">
        <v>4</v>
      </c>
      <c r="H36" s="28">
        <v>6</v>
      </c>
      <c r="I36" s="92">
        <f t="shared" si="3"/>
        <v>6750</v>
      </c>
      <c r="J36" s="92">
        <f>K36/4*2</f>
        <v>2250</v>
      </c>
      <c r="K36" s="92">
        <f t="shared" si="4"/>
        <v>4500</v>
      </c>
      <c r="L36" s="28">
        <f>946+153+2272</f>
        <v>3371</v>
      </c>
      <c r="M36" s="28">
        <f>117+1012</f>
        <v>1129</v>
      </c>
      <c r="N36" s="92">
        <f t="shared" si="5"/>
        <v>1844802</v>
      </c>
      <c r="O36" s="92">
        <f>P36/4*2</f>
        <v>614934</v>
      </c>
      <c r="P36" s="28">
        <v>1229868</v>
      </c>
      <c r="Q36" s="92">
        <f t="shared" si="6"/>
        <v>355554</v>
      </c>
      <c r="R36" s="92">
        <f>S36/4*2</f>
        <v>118518</v>
      </c>
      <c r="S36" s="28">
        <v>237036</v>
      </c>
      <c r="T36" s="461"/>
      <c r="X36" s="430"/>
      <c r="Y36" s="430"/>
    </row>
    <row r="37" spans="1:25" s="345" customFormat="1" ht="21.75" customHeight="1">
      <c r="A37" s="59">
        <v>26</v>
      </c>
      <c r="B37" s="70" t="s">
        <v>378</v>
      </c>
      <c r="C37" s="92">
        <f t="shared" si="1"/>
        <v>17</v>
      </c>
      <c r="D37" s="28">
        <v>2</v>
      </c>
      <c r="E37" s="28">
        <v>15</v>
      </c>
      <c r="F37" s="92">
        <f t="shared" si="2"/>
        <v>30</v>
      </c>
      <c r="G37" s="28">
        <v>9</v>
      </c>
      <c r="H37" s="28">
        <v>21</v>
      </c>
      <c r="I37" s="92">
        <f t="shared" si="3"/>
        <v>28359</v>
      </c>
      <c r="J37" s="28">
        <v>7090</v>
      </c>
      <c r="K37" s="92">
        <f t="shared" si="4"/>
        <v>21269</v>
      </c>
      <c r="L37" s="28">
        <f>5942+349+11527</f>
        <v>17818</v>
      </c>
      <c r="M37" s="28">
        <f>993+2458</f>
        <v>3451</v>
      </c>
      <c r="N37" s="92">
        <f t="shared" si="5"/>
        <v>8498433</v>
      </c>
      <c r="O37" s="28">
        <v>2124608</v>
      </c>
      <c r="P37" s="28">
        <v>6373825</v>
      </c>
      <c r="Q37" s="92">
        <f t="shared" si="6"/>
        <v>2063982</v>
      </c>
      <c r="R37" s="28">
        <v>515995</v>
      </c>
      <c r="S37" s="28">
        <v>1547987</v>
      </c>
      <c r="T37" s="461"/>
      <c r="X37" s="430"/>
      <c r="Y37" s="430"/>
    </row>
    <row r="38" spans="1:25" s="345" customFormat="1" ht="21.75" customHeight="1">
      <c r="A38" s="59">
        <v>27</v>
      </c>
      <c r="B38" s="70" t="s">
        <v>379</v>
      </c>
      <c r="C38" s="92">
        <f t="shared" si="1"/>
        <v>18</v>
      </c>
      <c r="D38" s="28">
        <v>5</v>
      </c>
      <c r="E38" s="28">
        <v>13</v>
      </c>
      <c r="F38" s="92">
        <f t="shared" si="2"/>
        <v>41</v>
      </c>
      <c r="G38" s="28">
        <v>17</v>
      </c>
      <c r="H38" s="28">
        <v>24</v>
      </c>
      <c r="I38" s="92">
        <f t="shared" si="3"/>
        <v>28149</v>
      </c>
      <c r="J38" s="92">
        <f aca="true" t="shared" si="9" ref="J38:J49">K38/4*2</f>
        <v>9383</v>
      </c>
      <c r="K38" s="92">
        <f t="shared" si="4"/>
        <v>18766</v>
      </c>
      <c r="L38" s="28">
        <f>5598+2111+5312</f>
        <v>13021</v>
      </c>
      <c r="M38" s="28">
        <f>933+4812</f>
        <v>5745</v>
      </c>
      <c r="N38" s="92">
        <f t="shared" si="5"/>
        <v>9483355.5</v>
      </c>
      <c r="O38" s="92">
        <f>P38/4*2</f>
        <v>3161118.5</v>
      </c>
      <c r="P38" s="28">
        <v>6322237</v>
      </c>
      <c r="Q38" s="92">
        <f t="shared" si="6"/>
        <v>2110887</v>
      </c>
      <c r="R38" s="92">
        <f>S38/4*2</f>
        <v>703629</v>
      </c>
      <c r="S38" s="28">
        <v>1407258</v>
      </c>
      <c r="T38" s="461"/>
      <c r="X38" s="430"/>
      <c r="Y38" s="430"/>
    </row>
    <row r="39" spans="1:25" s="345" customFormat="1" ht="21.75" customHeight="1">
      <c r="A39" s="59">
        <v>28</v>
      </c>
      <c r="B39" s="70" t="s">
        <v>380</v>
      </c>
      <c r="C39" s="92">
        <f t="shared" si="1"/>
        <v>5</v>
      </c>
      <c r="D39" s="28">
        <v>1</v>
      </c>
      <c r="E39" s="28">
        <v>4</v>
      </c>
      <c r="F39" s="92">
        <f t="shared" si="2"/>
        <v>10</v>
      </c>
      <c r="G39" s="28">
        <v>3</v>
      </c>
      <c r="H39" s="28">
        <v>7</v>
      </c>
      <c r="I39" s="92">
        <f t="shared" si="3"/>
        <v>5347.5</v>
      </c>
      <c r="J39" s="92">
        <f t="shared" si="9"/>
        <v>1782.5</v>
      </c>
      <c r="K39" s="92">
        <f t="shared" si="4"/>
        <v>3565</v>
      </c>
      <c r="L39" s="28">
        <f>1685+315+1034</f>
        <v>3034</v>
      </c>
      <c r="M39" s="28">
        <f>115+416</f>
        <v>531</v>
      </c>
      <c r="N39" s="92">
        <f t="shared" si="5"/>
        <v>706632</v>
      </c>
      <c r="O39" s="92">
        <f>P39/4*2</f>
        <v>235544</v>
      </c>
      <c r="P39" s="28">
        <v>471088</v>
      </c>
      <c r="Q39" s="92">
        <f t="shared" si="6"/>
        <v>368976</v>
      </c>
      <c r="R39" s="92">
        <f>S39/4*2</f>
        <v>122992</v>
      </c>
      <c r="S39" s="28">
        <v>245984</v>
      </c>
      <c r="T39" s="461"/>
      <c r="X39" s="430"/>
      <c r="Y39" s="430"/>
    </row>
    <row r="40" spans="1:25" s="345" customFormat="1" ht="21.75" customHeight="1">
      <c r="A40" s="59">
        <v>29</v>
      </c>
      <c r="B40" s="70" t="s">
        <v>381</v>
      </c>
      <c r="C40" s="92">
        <f t="shared" si="1"/>
        <v>6</v>
      </c>
      <c r="D40" s="28">
        <v>2</v>
      </c>
      <c r="E40" s="28">
        <v>4</v>
      </c>
      <c r="F40" s="92">
        <f t="shared" si="2"/>
        <v>7</v>
      </c>
      <c r="G40" s="28">
        <v>3</v>
      </c>
      <c r="H40" s="28">
        <v>4</v>
      </c>
      <c r="I40" s="92">
        <f t="shared" si="3"/>
        <v>4587</v>
      </c>
      <c r="J40" s="92">
        <f t="shared" si="9"/>
        <v>1529</v>
      </c>
      <c r="K40" s="92">
        <f t="shared" si="4"/>
        <v>3058</v>
      </c>
      <c r="L40" s="28">
        <f>861+229+1215</f>
        <v>2305</v>
      </c>
      <c r="M40" s="28">
        <f>97+656</f>
        <v>753</v>
      </c>
      <c r="N40" s="92">
        <f t="shared" si="5"/>
        <v>980428</v>
      </c>
      <c r="O40" s="28">
        <v>326810</v>
      </c>
      <c r="P40" s="28">
        <v>653618</v>
      </c>
      <c r="Q40" s="92">
        <f t="shared" si="6"/>
        <v>335460</v>
      </c>
      <c r="R40" s="28">
        <v>111800</v>
      </c>
      <c r="S40" s="28">
        <v>223660</v>
      </c>
      <c r="T40" s="461"/>
      <c r="X40" s="430"/>
      <c r="Y40" s="430"/>
    </row>
    <row r="41" spans="1:25" s="345" customFormat="1" ht="21.75" customHeight="1">
      <c r="A41" s="59">
        <v>30</v>
      </c>
      <c r="B41" s="70" t="s">
        <v>382</v>
      </c>
      <c r="C41" s="92">
        <f t="shared" si="1"/>
        <v>11</v>
      </c>
      <c r="D41" s="28">
        <v>1</v>
      </c>
      <c r="E41" s="28">
        <v>10</v>
      </c>
      <c r="F41" s="92">
        <f t="shared" si="2"/>
        <v>11</v>
      </c>
      <c r="G41" s="28">
        <v>1</v>
      </c>
      <c r="H41" s="28">
        <v>10</v>
      </c>
      <c r="I41" s="92">
        <f t="shared" si="3"/>
        <v>11076</v>
      </c>
      <c r="J41" s="92">
        <f t="shared" si="9"/>
        <v>3692</v>
      </c>
      <c r="K41" s="92">
        <f t="shared" si="4"/>
        <v>7384</v>
      </c>
      <c r="L41" s="28">
        <f>1435+521+3255</f>
        <v>5211</v>
      </c>
      <c r="M41" s="28">
        <f>463+1710</f>
        <v>2173</v>
      </c>
      <c r="N41" s="92">
        <f t="shared" si="5"/>
        <v>2780943</v>
      </c>
      <c r="O41" s="92">
        <f aca="true" t="shared" si="10" ref="O41:O47">P41/4*2</f>
        <v>926981</v>
      </c>
      <c r="P41" s="28">
        <v>1853962</v>
      </c>
      <c r="Q41" s="92">
        <f t="shared" si="6"/>
        <v>180852</v>
      </c>
      <c r="R41" s="92">
        <f aca="true" t="shared" si="11" ref="R41:R51">S41/4*2</f>
        <v>60284</v>
      </c>
      <c r="S41" s="28">
        <v>120568</v>
      </c>
      <c r="T41" s="461"/>
      <c r="X41" s="430"/>
      <c r="Y41" s="430"/>
    </row>
    <row r="42" spans="1:25" s="345" customFormat="1" ht="21.75" customHeight="1">
      <c r="A42" s="59">
        <v>31</v>
      </c>
      <c r="B42" s="70" t="s">
        <v>383</v>
      </c>
      <c r="C42" s="92">
        <f t="shared" si="1"/>
        <v>8</v>
      </c>
      <c r="D42" s="28">
        <v>1</v>
      </c>
      <c r="E42" s="28">
        <v>7</v>
      </c>
      <c r="F42" s="92">
        <f t="shared" si="2"/>
        <v>14</v>
      </c>
      <c r="G42" s="28">
        <v>5</v>
      </c>
      <c r="H42" s="28">
        <v>9</v>
      </c>
      <c r="I42" s="92">
        <f t="shared" si="3"/>
        <v>34471.5</v>
      </c>
      <c r="J42" s="92">
        <f t="shared" si="9"/>
        <v>11490.5</v>
      </c>
      <c r="K42" s="92">
        <f t="shared" si="4"/>
        <v>22981</v>
      </c>
      <c r="L42" s="28">
        <f>4267+3275+7179</f>
        <v>14721</v>
      </c>
      <c r="M42" s="28">
        <f>972+7288</f>
        <v>8260</v>
      </c>
      <c r="N42" s="92">
        <f t="shared" si="5"/>
        <v>7219092</v>
      </c>
      <c r="O42" s="92">
        <f t="shared" si="10"/>
        <v>2406364</v>
      </c>
      <c r="P42" s="28">
        <v>4812728</v>
      </c>
      <c r="Q42" s="92">
        <f t="shared" si="6"/>
        <v>2167215</v>
      </c>
      <c r="R42" s="92">
        <f t="shared" si="11"/>
        <v>722405</v>
      </c>
      <c r="S42" s="28">
        <v>1444810</v>
      </c>
      <c r="T42" s="461"/>
      <c r="X42" s="430"/>
      <c r="Y42" s="430"/>
    </row>
    <row r="43" spans="1:25" s="345" customFormat="1" ht="21.75" customHeight="1">
      <c r="A43" s="59">
        <v>32</v>
      </c>
      <c r="B43" s="70" t="s">
        <v>384</v>
      </c>
      <c r="C43" s="92">
        <f t="shared" si="1"/>
        <v>12</v>
      </c>
      <c r="D43" s="28">
        <v>2</v>
      </c>
      <c r="E43" s="28">
        <v>10</v>
      </c>
      <c r="F43" s="92">
        <f t="shared" si="2"/>
        <v>18</v>
      </c>
      <c r="G43" s="28">
        <v>6</v>
      </c>
      <c r="H43" s="28">
        <v>12</v>
      </c>
      <c r="I43" s="92">
        <f t="shared" si="3"/>
        <v>23310</v>
      </c>
      <c r="J43" s="92">
        <f t="shared" si="9"/>
        <v>7770</v>
      </c>
      <c r="K43" s="92">
        <f t="shared" si="4"/>
        <v>15540</v>
      </c>
      <c r="L43" s="28">
        <f>3343+419+7329</f>
        <v>11091</v>
      </c>
      <c r="M43" s="28">
        <f>269+4180</f>
        <v>4449</v>
      </c>
      <c r="N43" s="92">
        <f t="shared" si="5"/>
        <v>6116520</v>
      </c>
      <c r="O43" s="92">
        <f t="shared" si="10"/>
        <v>2038840</v>
      </c>
      <c r="P43" s="28">
        <v>4077680</v>
      </c>
      <c r="Q43" s="92">
        <f t="shared" si="6"/>
        <v>1484157</v>
      </c>
      <c r="R43" s="92">
        <f t="shared" si="11"/>
        <v>494719</v>
      </c>
      <c r="S43" s="28">
        <v>989438</v>
      </c>
      <c r="T43" s="461"/>
      <c r="X43" s="430"/>
      <c r="Y43" s="430"/>
    </row>
    <row r="44" spans="1:25" s="345" customFormat="1" ht="21.75" customHeight="1">
      <c r="A44" s="59">
        <v>33</v>
      </c>
      <c r="B44" s="70" t="s">
        <v>385</v>
      </c>
      <c r="C44" s="92">
        <f aca="true" t="shared" si="12" ref="C44:C74">D44+E44</f>
        <v>4</v>
      </c>
      <c r="D44" s="28">
        <v>2</v>
      </c>
      <c r="E44" s="28">
        <v>2</v>
      </c>
      <c r="F44" s="92">
        <f aca="true" t="shared" si="13" ref="F44:F74">G44+H44</f>
        <v>4</v>
      </c>
      <c r="G44" s="28">
        <v>2</v>
      </c>
      <c r="H44" s="28">
        <v>2</v>
      </c>
      <c r="I44" s="92">
        <f aca="true" t="shared" si="14" ref="I44:I74">J44+K44</f>
        <v>5422.5</v>
      </c>
      <c r="J44" s="92">
        <f t="shared" si="9"/>
        <v>1807.5</v>
      </c>
      <c r="K44" s="92">
        <f aca="true" t="shared" si="15" ref="K44:K73">L44+M44</f>
        <v>3615</v>
      </c>
      <c r="L44" s="28">
        <f>1032+181+2133</f>
        <v>3346</v>
      </c>
      <c r="M44" s="28">
        <f>58+211</f>
        <v>269</v>
      </c>
      <c r="N44" s="92">
        <f aca="true" t="shared" si="16" ref="N44:N74">O44+P44</f>
        <v>1280195.1</v>
      </c>
      <c r="O44" s="92">
        <f t="shared" si="10"/>
        <v>426731.7</v>
      </c>
      <c r="P44" s="28">
        <v>853463.4</v>
      </c>
      <c r="Q44" s="92">
        <f aca="true" t="shared" si="17" ref="Q44:Q74">R44+S44</f>
        <v>866440.3500000001</v>
      </c>
      <c r="R44" s="92">
        <f t="shared" si="11"/>
        <v>288813.45</v>
      </c>
      <c r="S44" s="28">
        <v>577626.9</v>
      </c>
      <c r="T44" s="461"/>
      <c r="X44" s="430"/>
      <c r="Y44" s="430"/>
    </row>
    <row r="45" spans="1:25" s="345" customFormat="1" ht="21.75" customHeight="1">
      <c r="A45" s="59">
        <v>34</v>
      </c>
      <c r="B45" s="70" t="s">
        <v>386</v>
      </c>
      <c r="C45" s="92">
        <f t="shared" si="12"/>
        <v>1</v>
      </c>
      <c r="D45" s="28">
        <v>1</v>
      </c>
      <c r="E45" s="28">
        <v>0</v>
      </c>
      <c r="F45" s="92">
        <f t="shared" si="13"/>
        <v>2</v>
      </c>
      <c r="G45" s="28">
        <v>2</v>
      </c>
      <c r="H45" s="28">
        <v>0</v>
      </c>
      <c r="I45" s="92">
        <f t="shared" si="14"/>
        <v>883.5</v>
      </c>
      <c r="J45" s="145">
        <f t="shared" si="9"/>
        <v>294.5</v>
      </c>
      <c r="K45" s="92">
        <f t="shared" si="15"/>
        <v>589</v>
      </c>
      <c r="L45" s="28">
        <f>232+31+265</f>
        <v>528</v>
      </c>
      <c r="M45" s="28">
        <f>3+58</f>
        <v>61</v>
      </c>
      <c r="N45" s="314">
        <f t="shared" si="16"/>
        <v>284520000</v>
      </c>
      <c r="O45" s="145">
        <f t="shared" si="10"/>
        <v>94840000</v>
      </c>
      <c r="P45" s="314">
        <v>189680000</v>
      </c>
      <c r="Q45" s="92">
        <f t="shared" si="17"/>
        <v>142260000</v>
      </c>
      <c r="R45" s="145">
        <f t="shared" si="11"/>
        <v>47420000</v>
      </c>
      <c r="S45" s="314">
        <v>94840000</v>
      </c>
      <c r="T45" s="461" t="s">
        <v>163</v>
      </c>
      <c r="X45" s="430"/>
      <c r="Y45" s="430"/>
    </row>
    <row r="46" spans="1:25" s="345" customFormat="1" ht="21.75" customHeight="1">
      <c r="A46" s="59">
        <v>35</v>
      </c>
      <c r="B46" s="70" t="s">
        <v>387</v>
      </c>
      <c r="C46" s="92">
        <f t="shared" si="12"/>
        <v>19</v>
      </c>
      <c r="D46" s="28">
        <v>4</v>
      </c>
      <c r="E46" s="28">
        <v>15</v>
      </c>
      <c r="F46" s="92">
        <f t="shared" si="13"/>
        <v>37</v>
      </c>
      <c r="G46" s="28">
        <v>10</v>
      </c>
      <c r="H46" s="28">
        <v>27</v>
      </c>
      <c r="I46" s="92">
        <f t="shared" si="14"/>
        <v>43755</v>
      </c>
      <c r="J46" s="92">
        <f t="shared" si="9"/>
        <v>14585</v>
      </c>
      <c r="K46" s="92">
        <f t="shared" si="15"/>
        <v>29170</v>
      </c>
      <c r="L46" s="28">
        <f>7207+376+15188</f>
        <v>22771</v>
      </c>
      <c r="M46" s="28">
        <f>1006+5393</f>
        <v>6399</v>
      </c>
      <c r="N46" s="92">
        <f t="shared" si="16"/>
        <v>9295837.5</v>
      </c>
      <c r="O46" s="92">
        <f t="shared" si="10"/>
        <v>3098612.5</v>
      </c>
      <c r="P46" s="28">
        <v>6197225</v>
      </c>
      <c r="Q46" s="92">
        <f t="shared" si="17"/>
        <v>1864503</v>
      </c>
      <c r="R46" s="92">
        <f t="shared" si="11"/>
        <v>621501</v>
      </c>
      <c r="S46" s="28">
        <v>1243002</v>
      </c>
      <c r="T46" s="461"/>
      <c r="X46" s="430"/>
      <c r="Y46" s="430"/>
    </row>
    <row r="47" spans="1:25" s="345" customFormat="1" ht="21.75" customHeight="1">
      <c r="A47" s="59">
        <v>36</v>
      </c>
      <c r="B47" s="71" t="s">
        <v>388</v>
      </c>
      <c r="C47" s="92">
        <f t="shared" si="12"/>
        <v>3</v>
      </c>
      <c r="D47" s="28">
        <v>1</v>
      </c>
      <c r="E47" s="28">
        <v>2</v>
      </c>
      <c r="F47" s="92">
        <f t="shared" si="13"/>
        <v>6</v>
      </c>
      <c r="G47" s="28">
        <v>3</v>
      </c>
      <c r="H47" s="28">
        <v>3</v>
      </c>
      <c r="I47" s="92">
        <f t="shared" si="14"/>
        <v>2664</v>
      </c>
      <c r="J47" s="92">
        <f t="shared" si="9"/>
        <v>888</v>
      </c>
      <c r="K47" s="92">
        <f t="shared" si="15"/>
        <v>1776</v>
      </c>
      <c r="L47" s="28">
        <f>624+152+569</f>
        <v>1345</v>
      </c>
      <c r="M47" s="28">
        <f>33+398</f>
        <v>431</v>
      </c>
      <c r="N47" s="92">
        <f t="shared" si="16"/>
        <v>938790</v>
      </c>
      <c r="O47" s="92">
        <f t="shared" si="10"/>
        <v>312930</v>
      </c>
      <c r="P47" s="28">
        <v>625860</v>
      </c>
      <c r="Q47" s="92">
        <f t="shared" si="17"/>
        <v>282100.5</v>
      </c>
      <c r="R47" s="92">
        <f t="shared" si="11"/>
        <v>94033.5</v>
      </c>
      <c r="S47" s="28">
        <v>188067</v>
      </c>
      <c r="T47" s="461"/>
      <c r="X47" s="430"/>
      <c r="Y47" s="430"/>
    </row>
    <row r="48" spans="1:25" s="345" customFormat="1" ht="21.75" customHeight="1">
      <c r="A48" s="59">
        <v>37</v>
      </c>
      <c r="B48" s="71" t="s">
        <v>389</v>
      </c>
      <c r="C48" s="92">
        <f t="shared" si="12"/>
        <v>6</v>
      </c>
      <c r="D48" s="28">
        <v>1</v>
      </c>
      <c r="E48" s="28">
        <v>5</v>
      </c>
      <c r="F48" s="92">
        <f t="shared" si="13"/>
        <v>8</v>
      </c>
      <c r="G48" s="28">
        <v>1</v>
      </c>
      <c r="H48" s="28">
        <v>7</v>
      </c>
      <c r="I48" s="92">
        <f t="shared" si="14"/>
        <v>5067</v>
      </c>
      <c r="J48" s="92">
        <f t="shared" si="9"/>
        <v>1689</v>
      </c>
      <c r="K48" s="92">
        <f t="shared" si="15"/>
        <v>3378</v>
      </c>
      <c r="L48" s="28">
        <f>811+94+1384</f>
        <v>2289</v>
      </c>
      <c r="M48" s="28">
        <f>74+1015</f>
        <v>1089</v>
      </c>
      <c r="N48" s="92">
        <f t="shared" si="16"/>
        <v>1968825</v>
      </c>
      <c r="O48" s="28">
        <v>656271</v>
      </c>
      <c r="P48" s="28">
        <v>1312554</v>
      </c>
      <c r="Q48" s="92">
        <f t="shared" si="17"/>
        <v>518413.5</v>
      </c>
      <c r="R48" s="92">
        <f t="shared" si="11"/>
        <v>172804.5</v>
      </c>
      <c r="S48" s="28">
        <v>345609</v>
      </c>
      <c r="T48" s="461"/>
      <c r="X48" s="430"/>
      <c r="Y48" s="430"/>
    </row>
    <row r="49" spans="1:25" s="345" customFormat="1" ht="21.75" customHeight="1">
      <c r="A49" s="59">
        <v>38</v>
      </c>
      <c r="B49" s="71" t="s">
        <v>390</v>
      </c>
      <c r="C49" s="92">
        <f t="shared" si="12"/>
        <v>26</v>
      </c>
      <c r="D49" s="28">
        <v>4</v>
      </c>
      <c r="E49" s="28">
        <v>22</v>
      </c>
      <c r="F49" s="92">
        <f t="shared" si="13"/>
        <v>35</v>
      </c>
      <c r="G49" s="28">
        <v>10</v>
      </c>
      <c r="H49" s="28">
        <v>25</v>
      </c>
      <c r="I49" s="92">
        <f t="shared" si="14"/>
        <v>40455</v>
      </c>
      <c r="J49" s="92">
        <f t="shared" si="9"/>
        <v>13485</v>
      </c>
      <c r="K49" s="92">
        <f t="shared" si="15"/>
        <v>26970</v>
      </c>
      <c r="L49" s="28">
        <f>11052+2140+10313</f>
        <v>23505</v>
      </c>
      <c r="M49" s="28">
        <f>1233+2232</f>
        <v>3465</v>
      </c>
      <c r="N49" s="92">
        <f t="shared" si="16"/>
        <v>7495482</v>
      </c>
      <c r="O49" s="92">
        <f>P49/4*2</f>
        <v>2498494</v>
      </c>
      <c r="P49" s="28">
        <v>4996988</v>
      </c>
      <c r="Q49" s="92">
        <f t="shared" si="17"/>
        <v>2545107</v>
      </c>
      <c r="R49" s="92">
        <f t="shared" si="11"/>
        <v>848369</v>
      </c>
      <c r="S49" s="28">
        <v>1696738</v>
      </c>
      <c r="T49" s="461"/>
      <c r="X49" s="430"/>
      <c r="Y49" s="430"/>
    </row>
    <row r="50" spans="1:25" s="345" customFormat="1" ht="21.75" customHeight="1">
      <c r="A50" s="59">
        <v>39</v>
      </c>
      <c r="B50" s="71" t="s">
        <v>391</v>
      </c>
      <c r="C50" s="92">
        <f t="shared" si="12"/>
        <v>10</v>
      </c>
      <c r="D50" s="28">
        <v>1</v>
      </c>
      <c r="E50" s="28">
        <v>9</v>
      </c>
      <c r="F50" s="92">
        <f t="shared" si="13"/>
        <v>14</v>
      </c>
      <c r="G50" s="28">
        <v>2</v>
      </c>
      <c r="H50" s="28">
        <v>12</v>
      </c>
      <c r="I50" s="92">
        <f t="shared" si="14"/>
        <v>5020</v>
      </c>
      <c r="J50" s="92">
        <v>1673</v>
      </c>
      <c r="K50" s="92">
        <f t="shared" si="15"/>
        <v>3347</v>
      </c>
      <c r="L50" s="28">
        <f>1086+103+1614</f>
        <v>2803</v>
      </c>
      <c r="M50" s="28">
        <f>168+376</f>
        <v>544</v>
      </c>
      <c r="N50" s="92">
        <f t="shared" si="16"/>
        <v>1637464.5</v>
      </c>
      <c r="O50" s="92">
        <f>P50/4*2</f>
        <v>545821.5</v>
      </c>
      <c r="P50" s="28">
        <v>1091643</v>
      </c>
      <c r="Q50" s="92">
        <f t="shared" si="17"/>
        <v>351004.5</v>
      </c>
      <c r="R50" s="92">
        <f t="shared" si="11"/>
        <v>117001.5</v>
      </c>
      <c r="S50" s="28">
        <v>234003</v>
      </c>
      <c r="T50" s="461"/>
      <c r="X50" s="430"/>
      <c r="Y50" s="430"/>
    </row>
    <row r="51" spans="1:25" s="345" customFormat="1" ht="21.75" customHeight="1">
      <c r="A51" s="59">
        <v>40</v>
      </c>
      <c r="B51" s="71" t="s">
        <v>392</v>
      </c>
      <c r="C51" s="92">
        <f t="shared" si="12"/>
        <v>28</v>
      </c>
      <c r="D51" s="28">
        <v>2</v>
      </c>
      <c r="E51" s="28">
        <v>26</v>
      </c>
      <c r="F51" s="92">
        <f t="shared" si="13"/>
        <v>36</v>
      </c>
      <c r="G51" s="28">
        <v>5</v>
      </c>
      <c r="H51" s="28">
        <v>31</v>
      </c>
      <c r="I51" s="92">
        <f t="shared" si="14"/>
        <v>22263</v>
      </c>
      <c r="J51" s="92">
        <f>K51/4*2</f>
        <v>7421</v>
      </c>
      <c r="K51" s="92">
        <f t="shared" si="15"/>
        <v>14842</v>
      </c>
      <c r="L51" s="28">
        <f>2930+1019+7734</f>
        <v>11683</v>
      </c>
      <c r="M51" s="28">
        <f>561+2598</f>
        <v>3159</v>
      </c>
      <c r="N51" s="92">
        <f t="shared" si="16"/>
        <v>5116443</v>
      </c>
      <c r="O51" s="92">
        <f>P51/4*2</f>
        <v>1705481</v>
      </c>
      <c r="P51" s="28">
        <v>3410962</v>
      </c>
      <c r="Q51" s="92">
        <f t="shared" si="17"/>
        <v>990427.5</v>
      </c>
      <c r="R51" s="92">
        <f t="shared" si="11"/>
        <v>330142.5</v>
      </c>
      <c r="S51" s="28">
        <v>660285</v>
      </c>
      <c r="T51" s="461"/>
      <c r="X51" s="430"/>
      <c r="Y51" s="430"/>
    </row>
    <row r="52" spans="1:25" s="345" customFormat="1" ht="21.75" customHeight="1">
      <c r="A52" s="59">
        <v>41</v>
      </c>
      <c r="B52" s="71" t="s">
        <v>393</v>
      </c>
      <c r="C52" s="92">
        <f t="shared" si="12"/>
        <v>7</v>
      </c>
      <c r="D52" s="28">
        <v>2</v>
      </c>
      <c r="E52" s="28">
        <v>5</v>
      </c>
      <c r="F52" s="92">
        <f t="shared" si="13"/>
        <v>11</v>
      </c>
      <c r="G52" s="28">
        <v>4</v>
      </c>
      <c r="H52" s="28">
        <v>7</v>
      </c>
      <c r="I52" s="92">
        <f t="shared" si="14"/>
        <v>4514</v>
      </c>
      <c r="J52" s="28">
        <v>1500</v>
      </c>
      <c r="K52" s="92">
        <f t="shared" si="15"/>
        <v>3014</v>
      </c>
      <c r="L52" s="28">
        <f>413+75+2270</f>
        <v>2758</v>
      </c>
      <c r="M52" s="28">
        <f>5+251</f>
        <v>256</v>
      </c>
      <c r="N52" s="92">
        <f t="shared" si="16"/>
        <v>1881490</v>
      </c>
      <c r="O52" s="28">
        <v>600000</v>
      </c>
      <c r="P52" s="28">
        <v>1281490</v>
      </c>
      <c r="Q52" s="92">
        <f t="shared" si="17"/>
        <v>229994</v>
      </c>
      <c r="R52" s="28">
        <v>75000</v>
      </c>
      <c r="S52" s="28">
        <v>154994</v>
      </c>
      <c r="T52" s="461"/>
      <c r="X52" s="430"/>
      <c r="Y52" s="430"/>
    </row>
    <row r="53" spans="1:25" s="345" customFormat="1" ht="21.75" customHeight="1">
      <c r="A53" s="59">
        <v>42</v>
      </c>
      <c r="B53" s="71" t="s">
        <v>394</v>
      </c>
      <c r="C53" s="92">
        <f t="shared" si="12"/>
        <v>5</v>
      </c>
      <c r="D53" s="28">
        <v>1</v>
      </c>
      <c r="E53" s="28">
        <v>4</v>
      </c>
      <c r="F53" s="92">
        <f t="shared" si="13"/>
        <v>7</v>
      </c>
      <c r="G53" s="28">
        <v>2</v>
      </c>
      <c r="H53" s="28">
        <v>5</v>
      </c>
      <c r="I53" s="92">
        <f t="shared" si="14"/>
        <v>7339</v>
      </c>
      <c r="J53" s="28">
        <v>1103</v>
      </c>
      <c r="K53" s="92">
        <f t="shared" si="15"/>
        <v>6236</v>
      </c>
      <c r="L53" s="28">
        <f>2138+203+2354</f>
        <v>4695</v>
      </c>
      <c r="M53" s="28">
        <f>401+1140</f>
        <v>1541</v>
      </c>
      <c r="N53" s="92">
        <f t="shared" si="16"/>
        <v>1682665.5</v>
      </c>
      <c r="O53" s="92">
        <f aca="true" t="shared" si="18" ref="O53:O63">P53/4*2</f>
        <v>560888.5</v>
      </c>
      <c r="P53" s="28">
        <v>1121777</v>
      </c>
      <c r="Q53" s="92">
        <f t="shared" si="17"/>
        <v>353458.5</v>
      </c>
      <c r="R53" s="92">
        <f aca="true" t="shared" si="19" ref="R53:R58">S53/4*2</f>
        <v>117819.5</v>
      </c>
      <c r="S53" s="28">
        <v>235639</v>
      </c>
      <c r="T53" s="461"/>
      <c r="X53" s="430"/>
      <c r="Y53" s="430"/>
    </row>
    <row r="54" spans="1:25" s="345" customFormat="1" ht="21.75" customHeight="1">
      <c r="A54" s="59">
        <v>43</v>
      </c>
      <c r="B54" s="71" t="s">
        <v>395</v>
      </c>
      <c r="C54" s="92">
        <f t="shared" si="12"/>
        <v>15</v>
      </c>
      <c r="D54" s="28">
        <v>2</v>
      </c>
      <c r="E54" s="28">
        <v>13</v>
      </c>
      <c r="F54" s="92">
        <f t="shared" si="13"/>
        <v>23</v>
      </c>
      <c r="G54" s="28">
        <v>5</v>
      </c>
      <c r="H54" s="28">
        <v>18</v>
      </c>
      <c r="I54" s="92">
        <f t="shared" si="14"/>
        <v>14443</v>
      </c>
      <c r="J54" s="92">
        <v>4814</v>
      </c>
      <c r="K54" s="92">
        <f t="shared" si="15"/>
        <v>9629</v>
      </c>
      <c r="L54" s="28">
        <f>1699+310+4974</f>
        <v>6983</v>
      </c>
      <c r="M54" s="28">
        <f>421+2225</f>
        <v>2646</v>
      </c>
      <c r="N54" s="92">
        <f t="shared" si="16"/>
        <v>2091121.5</v>
      </c>
      <c r="O54" s="92">
        <f t="shared" si="18"/>
        <v>697040.5</v>
      </c>
      <c r="P54" s="28">
        <v>1394081</v>
      </c>
      <c r="Q54" s="92">
        <f t="shared" si="17"/>
        <v>338848.5</v>
      </c>
      <c r="R54" s="92">
        <f t="shared" si="19"/>
        <v>112949.5</v>
      </c>
      <c r="S54" s="28">
        <v>225899</v>
      </c>
      <c r="T54" s="461"/>
      <c r="X54" s="430"/>
      <c r="Y54" s="430"/>
    </row>
    <row r="55" spans="1:25" s="345" customFormat="1" ht="21.75" customHeight="1">
      <c r="A55" s="59">
        <v>44</v>
      </c>
      <c r="B55" s="71" t="s">
        <v>396</v>
      </c>
      <c r="C55" s="92">
        <f t="shared" si="12"/>
        <v>6</v>
      </c>
      <c r="D55" s="28">
        <v>1</v>
      </c>
      <c r="E55" s="28">
        <v>5</v>
      </c>
      <c r="F55" s="92">
        <f t="shared" si="13"/>
        <v>7</v>
      </c>
      <c r="G55" s="28">
        <v>2</v>
      </c>
      <c r="H55" s="28">
        <v>5</v>
      </c>
      <c r="I55" s="92">
        <f t="shared" si="14"/>
        <v>4449</v>
      </c>
      <c r="J55" s="92">
        <f>K55/4*2</f>
        <v>1483</v>
      </c>
      <c r="K55" s="92">
        <f t="shared" si="15"/>
        <v>2966</v>
      </c>
      <c r="L55" s="28">
        <f>537+210+1812</f>
        <v>2559</v>
      </c>
      <c r="M55" s="28">
        <f>47+360</f>
        <v>407</v>
      </c>
      <c r="N55" s="92">
        <f t="shared" si="16"/>
        <v>1317345</v>
      </c>
      <c r="O55" s="92">
        <f t="shared" si="18"/>
        <v>439115</v>
      </c>
      <c r="P55" s="28">
        <v>878230</v>
      </c>
      <c r="Q55" s="92">
        <f t="shared" si="17"/>
        <v>180204</v>
      </c>
      <c r="R55" s="92">
        <f t="shared" si="19"/>
        <v>60068</v>
      </c>
      <c r="S55" s="28">
        <v>120136</v>
      </c>
      <c r="T55" s="461"/>
      <c r="X55" s="430"/>
      <c r="Y55" s="430"/>
    </row>
    <row r="56" spans="1:25" s="345" customFormat="1" ht="21.75" customHeight="1">
      <c r="A56" s="59">
        <v>45</v>
      </c>
      <c r="B56" s="76" t="s">
        <v>397</v>
      </c>
      <c r="C56" s="92">
        <f t="shared" si="12"/>
        <v>3</v>
      </c>
      <c r="D56" s="28">
        <v>1</v>
      </c>
      <c r="E56" s="28">
        <v>2</v>
      </c>
      <c r="F56" s="92">
        <f t="shared" si="13"/>
        <v>6</v>
      </c>
      <c r="G56" s="28">
        <v>3</v>
      </c>
      <c r="H56" s="28">
        <v>3</v>
      </c>
      <c r="I56" s="92">
        <f t="shared" si="14"/>
        <v>6118.5</v>
      </c>
      <c r="J56" s="92">
        <f>K56/4*2</f>
        <v>2039.5</v>
      </c>
      <c r="K56" s="92">
        <f t="shared" si="15"/>
        <v>4079</v>
      </c>
      <c r="L56" s="28">
        <f>761+98+2125</f>
        <v>2984</v>
      </c>
      <c r="M56" s="28">
        <f>97+998</f>
        <v>1095</v>
      </c>
      <c r="N56" s="92">
        <f t="shared" si="16"/>
        <v>2026977.5444999998</v>
      </c>
      <c r="O56" s="92">
        <f t="shared" si="18"/>
        <v>675659.1815</v>
      </c>
      <c r="P56" s="28">
        <v>1351318.363</v>
      </c>
      <c r="Q56" s="92">
        <f t="shared" si="17"/>
        <v>565069.809</v>
      </c>
      <c r="R56" s="92">
        <f t="shared" si="19"/>
        <v>188356.603</v>
      </c>
      <c r="S56" s="28">
        <v>376713.206</v>
      </c>
      <c r="T56" s="461"/>
      <c r="X56" s="430"/>
      <c r="Y56" s="430"/>
    </row>
    <row r="57" spans="1:25" s="345" customFormat="1" ht="21.75" customHeight="1">
      <c r="A57" s="59">
        <v>46</v>
      </c>
      <c r="B57" s="76" t="s">
        <v>398</v>
      </c>
      <c r="C57" s="92">
        <f t="shared" si="12"/>
        <v>12</v>
      </c>
      <c r="D57" s="28">
        <v>2</v>
      </c>
      <c r="E57" s="28">
        <v>10</v>
      </c>
      <c r="F57" s="92">
        <f t="shared" si="13"/>
        <v>13</v>
      </c>
      <c r="G57" s="28">
        <v>3</v>
      </c>
      <c r="H57" s="28">
        <v>10</v>
      </c>
      <c r="I57" s="92">
        <f t="shared" si="14"/>
        <v>7824</v>
      </c>
      <c r="J57" s="145">
        <f>K57/4*2</f>
        <v>2608</v>
      </c>
      <c r="K57" s="92">
        <f t="shared" si="15"/>
        <v>5216</v>
      </c>
      <c r="L57" s="28">
        <f>1964+2160+515</f>
        <v>4639</v>
      </c>
      <c r="M57" s="28">
        <f>437+140</f>
        <v>577</v>
      </c>
      <c r="N57" s="92">
        <f t="shared" si="16"/>
        <v>1651575</v>
      </c>
      <c r="O57" s="145">
        <f t="shared" si="18"/>
        <v>550525</v>
      </c>
      <c r="P57" s="28">
        <v>1101050</v>
      </c>
      <c r="Q57" s="92">
        <f t="shared" si="17"/>
        <v>559138.5</v>
      </c>
      <c r="R57" s="145">
        <f t="shared" si="19"/>
        <v>186379.5</v>
      </c>
      <c r="S57" s="28">
        <v>372759</v>
      </c>
      <c r="T57" s="461"/>
      <c r="X57" s="430"/>
      <c r="Y57" s="430"/>
    </row>
    <row r="58" spans="1:25" s="345" customFormat="1" ht="21.75" customHeight="1">
      <c r="A58" s="59">
        <v>47</v>
      </c>
      <c r="B58" s="76" t="s">
        <v>399</v>
      </c>
      <c r="C58" s="92">
        <f t="shared" si="12"/>
        <v>4</v>
      </c>
      <c r="D58" s="28">
        <v>1</v>
      </c>
      <c r="E58" s="28">
        <v>3</v>
      </c>
      <c r="F58" s="92">
        <f t="shared" si="13"/>
        <v>9</v>
      </c>
      <c r="G58" s="28">
        <v>6</v>
      </c>
      <c r="H58" s="28">
        <v>3</v>
      </c>
      <c r="I58" s="92">
        <f t="shared" si="14"/>
        <v>10726.5</v>
      </c>
      <c r="J58" s="92">
        <f>K58/4*2</f>
        <v>3575.5</v>
      </c>
      <c r="K58" s="92">
        <f t="shared" si="15"/>
        <v>7151</v>
      </c>
      <c r="L58" s="28">
        <f>2782+1496+1737</f>
        <v>6015</v>
      </c>
      <c r="M58" s="28">
        <f>450+686</f>
        <v>1136</v>
      </c>
      <c r="N58" s="92">
        <f t="shared" si="16"/>
        <v>2920593</v>
      </c>
      <c r="O58" s="92">
        <f t="shared" si="18"/>
        <v>973531</v>
      </c>
      <c r="P58" s="28">
        <v>1947062</v>
      </c>
      <c r="Q58" s="92">
        <f t="shared" si="17"/>
        <v>716302.5</v>
      </c>
      <c r="R58" s="92">
        <f t="shared" si="19"/>
        <v>238767.5</v>
      </c>
      <c r="S58" s="28">
        <v>477535</v>
      </c>
      <c r="T58" s="461"/>
      <c r="X58" s="430"/>
      <c r="Y58" s="430"/>
    </row>
    <row r="59" spans="1:25" s="345" customFormat="1" ht="21.75" customHeight="1">
      <c r="A59" s="59">
        <v>48</v>
      </c>
      <c r="B59" s="76" t="s">
        <v>400</v>
      </c>
      <c r="C59" s="92">
        <f t="shared" si="12"/>
        <v>14</v>
      </c>
      <c r="D59" s="28">
        <v>3</v>
      </c>
      <c r="E59" s="28">
        <v>11</v>
      </c>
      <c r="F59" s="92">
        <f t="shared" si="13"/>
        <v>33</v>
      </c>
      <c r="G59" s="28">
        <v>9</v>
      </c>
      <c r="H59" s="28">
        <v>24</v>
      </c>
      <c r="I59" s="92">
        <f t="shared" si="14"/>
        <v>14908</v>
      </c>
      <c r="J59" s="92">
        <v>4969</v>
      </c>
      <c r="K59" s="92">
        <f t="shared" si="15"/>
        <v>9939</v>
      </c>
      <c r="L59" s="28">
        <f>2468+467+4109</f>
        <v>7044</v>
      </c>
      <c r="M59" s="28">
        <f>318+2577</f>
        <v>2895</v>
      </c>
      <c r="N59" s="92">
        <f t="shared" si="16"/>
        <v>6393189</v>
      </c>
      <c r="O59" s="92">
        <f t="shared" si="18"/>
        <v>2131063</v>
      </c>
      <c r="P59" s="28">
        <v>4262126</v>
      </c>
      <c r="Q59" s="92">
        <f t="shared" si="17"/>
        <v>1290926</v>
      </c>
      <c r="R59" s="28">
        <v>427488</v>
      </c>
      <c r="S59" s="28">
        <v>863438</v>
      </c>
      <c r="T59" s="461"/>
      <c r="X59" s="430"/>
      <c r="Y59" s="430"/>
    </row>
    <row r="60" spans="1:25" s="345" customFormat="1" ht="21.75" customHeight="1">
      <c r="A60" s="59">
        <v>49</v>
      </c>
      <c r="B60" s="76" t="s">
        <v>401</v>
      </c>
      <c r="C60" s="92">
        <f t="shared" si="12"/>
        <v>5</v>
      </c>
      <c r="D60" s="28">
        <v>2</v>
      </c>
      <c r="E60" s="28">
        <v>3</v>
      </c>
      <c r="F60" s="92">
        <f t="shared" si="13"/>
        <v>7</v>
      </c>
      <c r="G60" s="28">
        <v>3</v>
      </c>
      <c r="H60" s="28">
        <v>4</v>
      </c>
      <c r="I60" s="92">
        <f t="shared" si="14"/>
        <v>7392</v>
      </c>
      <c r="J60" s="145">
        <f>K60/4*2</f>
        <v>2464</v>
      </c>
      <c r="K60" s="92">
        <f t="shared" si="15"/>
        <v>4928</v>
      </c>
      <c r="L60" s="28">
        <f>972+229+3081</f>
        <v>4282</v>
      </c>
      <c r="M60" s="28">
        <f>127+519</f>
        <v>646</v>
      </c>
      <c r="N60" s="92">
        <f t="shared" si="16"/>
        <v>1205220</v>
      </c>
      <c r="O60" s="145">
        <f t="shared" si="18"/>
        <v>401740</v>
      </c>
      <c r="P60" s="28">
        <v>803480</v>
      </c>
      <c r="Q60" s="92">
        <f t="shared" si="17"/>
        <v>950784</v>
      </c>
      <c r="R60" s="145">
        <f>S60/4*2</f>
        <v>316928</v>
      </c>
      <c r="S60" s="28">
        <v>633856</v>
      </c>
      <c r="T60" s="461"/>
      <c r="X60" s="430"/>
      <c r="Y60" s="430"/>
    </row>
    <row r="61" spans="1:25" s="345" customFormat="1" ht="21.75" customHeight="1">
      <c r="A61" s="59">
        <v>50</v>
      </c>
      <c r="B61" s="76" t="s">
        <v>402</v>
      </c>
      <c r="C61" s="92">
        <f t="shared" si="12"/>
        <v>6</v>
      </c>
      <c r="D61" s="28">
        <v>1</v>
      </c>
      <c r="E61" s="28">
        <v>5</v>
      </c>
      <c r="F61" s="92">
        <f t="shared" si="13"/>
        <v>8</v>
      </c>
      <c r="G61" s="28">
        <v>2</v>
      </c>
      <c r="H61" s="28">
        <v>6</v>
      </c>
      <c r="I61" s="92">
        <f t="shared" si="14"/>
        <v>7525.5</v>
      </c>
      <c r="J61" s="92">
        <f>K61/4*2</f>
        <v>2508.5</v>
      </c>
      <c r="K61" s="92">
        <f t="shared" si="15"/>
        <v>5017</v>
      </c>
      <c r="L61" s="28">
        <f>1380+175+1874</f>
        <v>3429</v>
      </c>
      <c r="M61" s="28">
        <f>110+1478</f>
        <v>1588</v>
      </c>
      <c r="N61" s="92">
        <f t="shared" si="16"/>
        <v>1547922.3285</v>
      </c>
      <c r="O61" s="92">
        <f t="shared" si="18"/>
        <v>515974.1095</v>
      </c>
      <c r="P61" s="28">
        <v>1031948.219</v>
      </c>
      <c r="Q61" s="92">
        <f t="shared" si="17"/>
        <v>169082.3235</v>
      </c>
      <c r="R61" s="92">
        <f>S61/4*2</f>
        <v>56360.7745</v>
      </c>
      <c r="S61" s="28">
        <v>112721.549</v>
      </c>
      <c r="T61" s="461"/>
      <c r="X61" s="430"/>
      <c r="Y61" s="430"/>
    </row>
    <row r="62" spans="1:25" s="345" customFormat="1" ht="21.75" customHeight="1">
      <c r="A62" s="59">
        <v>51</v>
      </c>
      <c r="B62" s="75" t="s">
        <v>403</v>
      </c>
      <c r="C62" s="92">
        <f t="shared" si="12"/>
        <v>7</v>
      </c>
      <c r="D62" s="28">
        <v>3</v>
      </c>
      <c r="E62" s="28">
        <v>4</v>
      </c>
      <c r="F62" s="92">
        <f t="shared" si="13"/>
        <v>10</v>
      </c>
      <c r="G62" s="28">
        <v>5</v>
      </c>
      <c r="H62" s="28">
        <v>5</v>
      </c>
      <c r="I62" s="92">
        <f t="shared" si="14"/>
        <v>6241.5</v>
      </c>
      <c r="J62" s="92">
        <f>K62/4*2</f>
        <v>2080.5</v>
      </c>
      <c r="K62" s="92">
        <f t="shared" si="15"/>
        <v>4161</v>
      </c>
      <c r="L62" s="28">
        <f>779+127+2507</f>
        <v>3413</v>
      </c>
      <c r="M62" s="28">
        <f>138+610</f>
        <v>748</v>
      </c>
      <c r="N62" s="92">
        <f t="shared" si="16"/>
        <v>1469700</v>
      </c>
      <c r="O62" s="92">
        <f t="shared" si="18"/>
        <v>489900</v>
      </c>
      <c r="P62" s="28">
        <v>979800</v>
      </c>
      <c r="Q62" s="92">
        <f t="shared" si="17"/>
        <v>372984.30000000005</v>
      </c>
      <c r="R62" s="92">
        <f>S62/4*2</f>
        <v>124328.1</v>
      </c>
      <c r="S62" s="28">
        <v>248656.2</v>
      </c>
      <c r="T62" s="461"/>
      <c r="X62" s="430"/>
      <c r="Y62" s="430"/>
    </row>
    <row r="63" spans="1:25" s="345" customFormat="1" ht="21.75" customHeight="1">
      <c r="A63" s="59">
        <v>52</v>
      </c>
      <c r="B63" s="75" t="s">
        <v>404</v>
      </c>
      <c r="C63" s="92">
        <f t="shared" si="12"/>
        <v>11</v>
      </c>
      <c r="D63" s="28">
        <v>3</v>
      </c>
      <c r="E63" s="28">
        <v>8</v>
      </c>
      <c r="F63" s="92">
        <f t="shared" si="13"/>
        <v>16</v>
      </c>
      <c r="G63" s="28">
        <v>7</v>
      </c>
      <c r="H63" s="28">
        <v>9</v>
      </c>
      <c r="I63" s="92">
        <f t="shared" si="14"/>
        <v>29103</v>
      </c>
      <c r="J63" s="92">
        <f>K63/4*2</f>
        <v>9701</v>
      </c>
      <c r="K63" s="92">
        <f t="shared" si="15"/>
        <v>19402</v>
      </c>
      <c r="L63" s="28">
        <f>3083+805+12982</f>
        <v>16870</v>
      </c>
      <c r="M63" s="28">
        <f>624+1908</f>
        <v>2532</v>
      </c>
      <c r="N63" s="92">
        <f t="shared" si="16"/>
        <v>6590385</v>
      </c>
      <c r="O63" s="92">
        <f t="shared" si="18"/>
        <v>2196795</v>
      </c>
      <c r="P63" s="28">
        <v>4393590</v>
      </c>
      <c r="Q63" s="92">
        <f t="shared" si="17"/>
        <v>1960482</v>
      </c>
      <c r="R63" s="92">
        <f>S63/4*2</f>
        <v>653494</v>
      </c>
      <c r="S63" s="28">
        <v>1306988</v>
      </c>
      <c r="T63" s="461"/>
      <c r="X63" s="430"/>
      <c r="Y63" s="430"/>
    </row>
    <row r="64" spans="1:25" s="345" customFormat="1" ht="21.75" customHeight="1">
      <c r="A64" s="59">
        <v>53</v>
      </c>
      <c r="B64" s="75" t="s">
        <v>405</v>
      </c>
      <c r="C64" s="92">
        <f t="shared" si="12"/>
        <v>6</v>
      </c>
      <c r="D64" s="28">
        <v>1</v>
      </c>
      <c r="E64" s="28">
        <v>5</v>
      </c>
      <c r="F64" s="92">
        <f t="shared" si="13"/>
        <v>10</v>
      </c>
      <c r="G64" s="28">
        <v>3</v>
      </c>
      <c r="H64" s="28">
        <v>7</v>
      </c>
      <c r="I64" s="92">
        <f t="shared" si="14"/>
        <v>2961</v>
      </c>
      <c r="J64" s="28">
        <v>130</v>
      </c>
      <c r="K64" s="92">
        <f t="shared" si="15"/>
        <v>2831</v>
      </c>
      <c r="L64" s="28">
        <f>458+37+1933</f>
        <v>2428</v>
      </c>
      <c r="M64" s="28">
        <f>93+310</f>
        <v>403</v>
      </c>
      <c r="N64" s="92">
        <f t="shared" si="16"/>
        <v>1127180.418</v>
      </c>
      <c r="O64" s="28">
        <v>419500</v>
      </c>
      <c r="P64" s="28">
        <v>707680.418</v>
      </c>
      <c r="Q64" s="92">
        <f t="shared" si="17"/>
        <v>378815.128</v>
      </c>
      <c r="R64" s="28">
        <v>158500</v>
      </c>
      <c r="S64" s="28">
        <v>220315.128</v>
      </c>
      <c r="T64" s="461"/>
      <c r="X64" s="430"/>
      <c r="Y64" s="430"/>
    </row>
    <row r="65" spans="1:25" s="345" customFormat="1" ht="21.75" customHeight="1">
      <c r="A65" s="59">
        <v>54</v>
      </c>
      <c r="B65" s="75" t="s">
        <v>406</v>
      </c>
      <c r="C65" s="92">
        <f t="shared" si="12"/>
        <v>7</v>
      </c>
      <c r="D65" s="28">
        <v>2</v>
      </c>
      <c r="E65" s="28">
        <v>5</v>
      </c>
      <c r="F65" s="92">
        <f t="shared" si="13"/>
        <v>13</v>
      </c>
      <c r="G65" s="28">
        <v>5</v>
      </c>
      <c r="H65" s="28">
        <v>8</v>
      </c>
      <c r="I65" s="92">
        <f t="shared" si="14"/>
        <v>9934.5</v>
      </c>
      <c r="J65" s="145">
        <f>K65/4*2</f>
        <v>3311.5</v>
      </c>
      <c r="K65" s="92">
        <f t="shared" si="15"/>
        <v>6623</v>
      </c>
      <c r="L65" s="28">
        <f>703+639+2879</f>
        <v>4221</v>
      </c>
      <c r="M65" s="28">
        <f>324+2078</f>
        <v>2402</v>
      </c>
      <c r="N65" s="92">
        <f t="shared" si="16"/>
        <v>2693223</v>
      </c>
      <c r="O65" s="145">
        <f>P65/4*2</f>
        <v>897741</v>
      </c>
      <c r="P65" s="28">
        <v>1795482</v>
      </c>
      <c r="Q65" s="92">
        <f t="shared" si="17"/>
        <v>546332</v>
      </c>
      <c r="R65" s="28"/>
      <c r="S65" s="28">
        <v>546332</v>
      </c>
      <c r="T65" s="461"/>
      <c r="X65" s="430"/>
      <c r="Y65" s="430"/>
    </row>
    <row r="66" spans="1:25" s="345" customFormat="1" ht="21.75" customHeight="1">
      <c r="A66" s="59">
        <v>55</v>
      </c>
      <c r="B66" s="75" t="s">
        <v>407</v>
      </c>
      <c r="C66" s="92">
        <f t="shared" si="12"/>
        <v>36</v>
      </c>
      <c r="D66" s="28">
        <v>3</v>
      </c>
      <c r="E66" s="28">
        <v>33</v>
      </c>
      <c r="F66" s="92">
        <f t="shared" si="13"/>
        <v>48</v>
      </c>
      <c r="G66" s="28">
        <v>6</v>
      </c>
      <c r="H66" s="28">
        <v>42</v>
      </c>
      <c r="I66" s="92">
        <f t="shared" si="14"/>
        <v>42597</v>
      </c>
      <c r="J66" s="28">
        <v>11338</v>
      </c>
      <c r="K66" s="144">
        <f t="shared" si="15"/>
        <v>31259</v>
      </c>
      <c r="L66" s="28">
        <f>9664+1253+14177</f>
        <v>25094</v>
      </c>
      <c r="M66" s="28">
        <f>2145+4020</f>
        <v>6165</v>
      </c>
      <c r="N66" s="92">
        <f t="shared" si="16"/>
        <v>5525189</v>
      </c>
      <c r="O66" s="465">
        <v>2761</v>
      </c>
      <c r="P66" s="28">
        <v>5522428</v>
      </c>
      <c r="Q66" s="92">
        <f t="shared" si="17"/>
        <v>1593189</v>
      </c>
      <c r="R66" s="92">
        <f>S66/4*2</f>
        <v>531063</v>
      </c>
      <c r="S66" s="28">
        <v>1062126</v>
      </c>
      <c r="T66" s="461" t="s">
        <v>164</v>
      </c>
      <c r="X66" s="430"/>
      <c r="Y66" s="430"/>
    </row>
    <row r="67" spans="1:25" s="345" customFormat="1" ht="21.75" customHeight="1">
      <c r="A67" s="59">
        <v>56</v>
      </c>
      <c r="B67" s="75" t="s">
        <v>408</v>
      </c>
      <c r="C67" s="92">
        <f t="shared" si="12"/>
        <v>4</v>
      </c>
      <c r="D67" s="28">
        <v>2</v>
      </c>
      <c r="E67" s="28">
        <v>2</v>
      </c>
      <c r="F67" s="92">
        <f t="shared" si="13"/>
        <v>11</v>
      </c>
      <c r="G67" s="28">
        <v>7</v>
      </c>
      <c r="H67" s="28">
        <v>4</v>
      </c>
      <c r="I67" s="92">
        <f t="shared" si="14"/>
        <v>7110</v>
      </c>
      <c r="J67" s="92">
        <f>K67/4*2</f>
        <v>2370</v>
      </c>
      <c r="K67" s="92">
        <f t="shared" si="15"/>
        <v>4740</v>
      </c>
      <c r="L67" s="28">
        <f>1259+256+2063</f>
        <v>3578</v>
      </c>
      <c r="M67" s="28">
        <f>262+900</f>
        <v>1162</v>
      </c>
      <c r="N67" s="92">
        <f t="shared" si="16"/>
        <v>2473006.5</v>
      </c>
      <c r="O67" s="92">
        <f>P67/4*2</f>
        <v>824335.5</v>
      </c>
      <c r="P67" s="28">
        <v>1648671</v>
      </c>
      <c r="Q67" s="92">
        <f t="shared" si="17"/>
        <v>786054</v>
      </c>
      <c r="R67" s="92">
        <f>S67/4*2</f>
        <v>262018</v>
      </c>
      <c r="S67" s="28">
        <v>524036</v>
      </c>
      <c r="T67" s="461"/>
      <c r="X67" s="430"/>
      <c r="Y67" s="430"/>
    </row>
    <row r="68" spans="1:25" s="345" customFormat="1" ht="21.75" customHeight="1">
      <c r="A68" s="59">
        <v>57</v>
      </c>
      <c r="B68" s="75" t="s">
        <v>409</v>
      </c>
      <c r="C68" s="92">
        <f t="shared" si="12"/>
        <v>15</v>
      </c>
      <c r="D68" s="28">
        <v>3</v>
      </c>
      <c r="E68" s="28">
        <v>12</v>
      </c>
      <c r="F68" s="92">
        <f t="shared" si="13"/>
        <v>22</v>
      </c>
      <c r="G68" s="28">
        <v>7</v>
      </c>
      <c r="H68" s="28">
        <v>15</v>
      </c>
      <c r="I68" s="92">
        <f t="shared" si="14"/>
        <v>26607</v>
      </c>
      <c r="J68" s="92">
        <f>K68/4*2</f>
        <v>8869</v>
      </c>
      <c r="K68" s="92">
        <f t="shared" si="15"/>
        <v>17738</v>
      </c>
      <c r="L68" s="28">
        <f>6893+342+6773</f>
        <v>14008</v>
      </c>
      <c r="M68" s="28">
        <f>962+2768</f>
        <v>3730</v>
      </c>
      <c r="N68" s="92">
        <f t="shared" si="16"/>
        <v>6367839</v>
      </c>
      <c r="O68" s="92">
        <f>P68/4*2</f>
        <v>2122613</v>
      </c>
      <c r="P68" s="28">
        <v>4245226</v>
      </c>
      <c r="Q68" s="92">
        <f t="shared" si="17"/>
        <v>2125515</v>
      </c>
      <c r="R68" s="92">
        <f>S68/4*2</f>
        <v>708505</v>
      </c>
      <c r="S68" s="28">
        <v>1417010</v>
      </c>
      <c r="T68" s="461"/>
      <c r="X68" s="430"/>
      <c r="Y68" s="430"/>
    </row>
    <row r="69" spans="1:25" s="345" customFormat="1" ht="21.75" customHeight="1">
      <c r="A69" s="59">
        <v>58</v>
      </c>
      <c r="B69" s="75" t="s">
        <v>410</v>
      </c>
      <c r="C69" s="92">
        <f t="shared" si="12"/>
        <v>47</v>
      </c>
      <c r="D69" s="28">
        <v>7</v>
      </c>
      <c r="E69" s="28">
        <v>40</v>
      </c>
      <c r="F69" s="92">
        <f t="shared" si="13"/>
        <v>233</v>
      </c>
      <c r="G69" s="28">
        <v>67</v>
      </c>
      <c r="H69" s="28">
        <v>166</v>
      </c>
      <c r="I69" s="92">
        <f t="shared" si="14"/>
        <v>417652</v>
      </c>
      <c r="J69" s="28">
        <v>137252</v>
      </c>
      <c r="K69" s="92">
        <f t="shared" si="15"/>
        <v>280400</v>
      </c>
      <c r="L69" s="28">
        <f>45940+70490+40486</f>
        <v>156916</v>
      </c>
      <c r="M69" s="28">
        <f>7345+116139</f>
        <v>123484</v>
      </c>
      <c r="N69" s="92">
        <f t="shared" si="16"/>
        <v>125640951</v>
      </c>
      <c r="O69" s="28">
        <v>41880000</v>
      </c>
      <c r="P69" s="28">
        <v>83760951</v>
      </c>
      <c r="Q69" s="92">
        <f t="shared" si="17"/>
        <v>36856228</v>
      </c>
      <c r="R69" s="28">
        <v>12285610</v>
      </c>
      <c r="S69" s="28">
        <v>24570618</v>
      </c>
      <c r="T69" s="461"/>
      <c r="X69" s="430"/>
      <c r="Y69" s="430"/>
    </row>
    <row r="70" spans="1:25" s="345" customFormat="1" ht="21.75" customHeight="1">
      <c r="A70" s="59">
        <v>59</v>
      </c>
      <c r="B70" s="75" t="s">
        <v>411</v>
      </c>
      <c r="C70" s="92">
        <f t="shared" si="12"/>
        <v>5</v>
      </c>
      <c r="D70" s="28">
        <v>1</v>
      </c>
      <c r="E70" s="28">
        <v>4</v>
      </c>
      <c r="F70" s="92">
        <f t="shared" si="13"/>
        <v>8</v>
      </c>
      <c r="G70" s="28">
        <v>2</v>
      </c>
      <c r="H70" s="28">
        <v>6</v>
      </c>
      <c r="I70" s="92">
        <f t="shared" si="14"/>
        <v>7992</v>
      </c>
      <c r="J70" s="92">
        <f>K70/4*2</f>
        <v>2664</v>
      </c>
      <c r="K70" s="92">
        <f t="shared" si="15"/>
        <v>5328</v>
      </c>
      <c r="L70" s="28">
        <f>1217+1366+1562</f>
        <v>4145</v>
      </c>
      <c r="M70" s="28">
        <f>149+1034</f>
        <v>1183</v>
      </c>
      <c r="N70" s="92">
        <f t="shared" si="16"/>
        <v>1346744.595</v>
      </c>
      <c r="O70" s="92">
        <f>P70/4*2</f>
        <v>448914.865</v>
      </c>
      <c r="P70" s="28">
        <v>897829.73</v>
      </c>
      <c r="Q70" s="92">
        <f t="shared" si="17"/>
        <v>275237.33999999997</v>
      </c>
      <c r="R70" s="92">
        <f>S70/4*2</f>
        <v>91745.78</v>
      </c>
      <c r="S70" s="28">
        <v>183491.56</v>
      </c>
      <c r="T70" s="461"/>
      <c r="X70" s="430"/>
      <c r="Y70" s="430"/>
    </row>
    <row r="71" spans="1:25" s="345" customFormat="1" ht="21.75" customHeight="1">
      <c r="A71" s="59">
        <v>60</v>
      </c>
      <c r="B71" s="75" t="s">
        <v>412</v>
      </c>
      <c r="C71" s="92">
        <f t="shared" si="12"/>
        <v>2</v>
      </c>
      <c r="D71" s="28">
        <v>1</v>
      </c>
      <c r="E71" s="28">
        <v>1</v>
      </c>
      <c r="F71" s="92">
        <f t="shared" si="13"/>
        <v>4</v>
      </c>
      <c r="G71" s="28">
        <v>3</v>
      </c>
      <c r="H71" s="28">
        <v>1</v>
      </c>
      <c r="I71" s="92">
        <f t="shared" si="14"/>
        <v>2184</v>
      </c>
      <c r="J71" s="92">
        <f>K71/4*2</f>
        <v>728</v>
      </c>
      <c r="K71" s="92">
        <f t="shared" si="15"/>
        <v>1456</v>
      </c>
      <c r="L71" s="28">
        <f>407+151+643</f>
        <v>1201</v>
      </c>
      <c r="M71" s="28">
        <f>35+220</f>
        <v>255</v>
      </c>
      <c r="N71" s="92">
        <f t="shared" si="16"/>
        <v>640920</v>
      </c>
      <c r="O71" s="92">
        <f>P71/4*2</f>
        <v>213640</v>
      </c>
      <c r="P71" s="28">
        <v>427280</v>
      </c>
      <c r="Q71" s="92">
        <f t="shared" si="17"/>
        <v>312720</v>
      </c>
      <c r="R71" s="92">
        <f>S71/4*2</f>
        <v>104240</v>
      </c>
      <c r="S71" s="28">
        <v>208480</v>
      </c>
      <c r="T71" s="461"/>
      <c r="X71" s="430"/>
      <c r="Y71" s="430"/>
    </row>
    <row r="72" spans="1:25" s="345" customFormat="1" ht="21.75" customHeight="1">
      <c r="A72" s="59">
        <v>61</v>
      </c>
      <c r="B72" s="75" t="s">
        <v>413</v>
      </c>
      <c r="C72" s="92">
        <f t="shared" si="12"/>
        <v>5</v>
      </c>
      <c r="D72" s="28">
        <v>2</v>
      </c>
      <c r="E72" s="28">
        <v>3</v>
      </c>
      <c r="F72" s="92">
        <f t="shared" si="13"/>
        <v>8</v>
      </c>
      <c r="G72" s="28">
        <v>4</v>
      </c>
      <c r="H72" s="28">
        <v>4</v>
      </c>
      <c r="I72" s="92">
        <f t="shared" si="14"/>
        <v>12462</v>
      </c>
      <c r="J72" s="145">
        <f>K72/4*2</f>
        <v>4154</v>
      </c>
      <c r="K72" s="144">
        <f t="shared" si="15"/>
        <v>8308</v>
      </c>
      <c r="L72" s="28">
        <f>2392+1300+2468</f>
        <v>6160</v>
      </c>
      <c r="M72" s="28">
        <f>396+1752</f>
        <v>2148</v>
      </c>
      <c r="N72" s="92">
        <f t="shared" si="16"/>
        <v>2731693.5</v>
      </c>
      <c r="O72" s="145">
        <f>P72/4*2</f>
        <v>910564.5</v>
      </c>
      <c r="P72" s="314">
        <v>1821129</v>
      </c>
      <c r="Q72" s="92">
        <f t="shared" si="17"/>
        <v>613999632</v>
      </c>
      <c r="R72" s="466">
        <f>S72/4*2</f>
        <v>204666544</v>
      </c>
      <c r="S72" s="314">
        <v>409333088</v>
      </c>
      <c r="T72" s="461" t="s">
        <v>165</v>
      </c>
      <c r="X72" s="467"/>
      <c r="Y72" s="467"/>
    </row>
    <row r="73" spans="1:25" s="345" customFormat="1" ht="21.75" customHeight="1">
      <c r="A73" s="59">
        <v>62</v>
      </c>
      <c r="B73" s="75" t="s">
        <v>414</v>
      </c>
      <c r="C73" s="92">
        <f t="shared" si="12"/>
        <v>24</v>
      </c>
      <c r="D73" s="28">
        <v>3</v>
      </c>
      <c r="E73" s="28">
        <v>21</v>
      </c>
      <c r="F73" s="92">
        <f t="shared" si="13"/>
        <v>37</v>
      </c>
      <c r="G73" s="28">
        <v>7</v>
      </c>
      <c r="H73" s="28">
        <v>30</v>
      </c>
      <c r="I73" s="92">
        <f t="shared" si="14"/>
        <v>22968</v>
      </c>
      <c r="J73" s="92">
        <f>K73/4*2</f>
        <v>7656</v>
      </c>
      <c r="K73" s="144">
        <f t="shared" si="15"/>
        <v>15312</v>
      </c>
      <c r="L73" s="28">
        <f>4313+1665+6083</f>
        <v>12061</v>
      </c>
      <c r="M73" s="28">
        <f>688+2563</f>
        <v>3251</v>
      </c>
      <c r="N73" s="92">
        <f t="shared" si="16"/>
        <v>4401645</v>
      </c>
      <c r="O73" s="92">
        <f>P73/4*2</f>
        <v>1467215</v>
      </c>
      <c r="P73" s="28">
        <v>2934430</v>
      </c>
      <c r="Q73" s="92">
        <f t="shared" si="17"/>
        <v>697894.5</v>
      </c>
      <c r="R73" s="92">
        <f>S73/4*2</f>
        <v>232631.5</v>
      </c>
      <c r="S73" s="28">
        <v>465263</v>
      </c>
      <c r="T73" s="461" t="s">
        <v>166</v>
      </c>
      <c r="X73" s="467"/>
      <c r="Y73" s="467"/>
    </row>
    <row r="74" spans="1:25" s="345" customFormat="1" ht="21.75" customHeight="1">
      <c r="A74" s="59">
        <v>63</v>
      </c>
      <c r="B74" s="75" t="s">
        <v>415</v>
      </c>
      <c r="C74" s="92">
        <f t="shared" si="12"/>
        <v>3</v>
      </c>
      <c r="D74" s="28">
        <v>2</v>
      </c>
      <c r="E74" s="28">
        <v>1</v>
      </c>
      <c r="F74" s="92">
        <f t="shared" si="13"/>
        <v>7</v>
      </c>
      <c r="G74" s="28">
        <v>5</v>
      </c>
      <c r="H74" s="28">
        <v>2</v>
      </c>
      <c r="I74" s="92">
        <f t="shared" si="14"/>
        <v>5318</v>
      </c>
      <c r="J74" s="28">
        <v>2000</v>
      </c>
      <c r="K74" s="144">
        <v>3318</v>
      </c>
      <c r="L74" s="28">
        <f>1321+301+1410</f>
        <v>3032</v>
      </c>
      <c r="M74" s="28">
        <f>94+192</f>
        <v>286</v>
      </c>
      <c r="N74" s="92">
        <f t="shared" si="16"/>
        <v>1348663</v>
      </c>
      <c r="O74" s="28">
        <v>450000</v>
      </c>
      <c r="P74" s="28">
        <v>898663</v>
      </c>
      <c r="Q74" s="92">
        <f t="shared" si="17"/>
        <v>626284.5</v>
      </c>
      <c r="R74" s="28">
        <v>225000</v>
      </c>
      <c r="S74" s="28">
        <v>401284.5</v>
      </c>
      <c r="T74" s="461" t="s">
        <v>167</v>
      </c>
      <c r="X74" s="430"/>
      <c r="Y74" s="430"/>
    </row>
    <row r="76" spans="1:8" s="89" customFormat="1" ht="18" customHeight="1">
      <c r="A76" s="50"/>
      <c r="B76" s="50" t="s">
        <v>342</v>
      </c>
      <c r="C76" s="56" t="s">
        <v>505</v>
      </c>
      <c r="F76" s="50"/>
      <c r="G76" s="88"/>
      <c r="H76" s="88"/>
    </row>
    <row r="77" spans="1:6" s="87" customFormat="1" ht="18" customHeight="1">
      <c r="A77" s="50"/>
      <c r="B77" s="50" t="s">
        <v>343</v>
      </c>
      <c r="C77" s="50" t="s">
        <v>344</v>
      </c>
      <c r="F77" s="50"/>
    </row>
    <row r="78" spans="1:6" s="87" customFormat="1" ht="18" customHeight="1">
      <c r="A78" s="50"/>
      <c r="B78" s="50" t="s">
        <v>345</v>
      </c>
      <c r="C78" s="50" t="s">
        <v>346</v>
      </c>
      <c r="F78" s="50"/>
    </row>
    <row r="79" spans="1:16" s="22" customFormat="1" ht="15.75">
      <c r="A79"/>
      <c r="B79" s="142"/>
      <c r="C79" s="120" t="s">
        <v>493</v>
      </c>
      <c r="F79"/>
      <c r="G79"/>
      <c r="H79"/>
      <c r="I79"/>
      <c r="J79"/>
      <c r="K79"/>
      <c r="L79"/>
      <c r="M79"/>
      <c r="N79"/>
      <c r="O79"/>
      <c r="P79" s="13"/>
    </row>
    <row r="80" spans="1:16" s="22" customFormat="1" ht="15.75">
      <c r="A80"/>
      <c r="B80" s="90"/>
      <c r="C80" s="50" t="s">
        <v>430</v>
      </c>
      <c r="F80"/>
      <c r="G80"/>
      <c r="H80"/>
      <c r="I80"/>
      <c r="J80"/>
      <c r="K80"/>
      <c r="L80"/>
      <c r="M80"/>
      <c r="N80"/>
      <c r="O80"/>
      <c r="P80" s="13"/>
    </row>
    <row r="81" spans="1:16" s="22" customFormat="1" ht="15.75">
      <c r="A81"/>
      <c r="B81" s="91"/>
      <c r="C81" s="50" t="s">
        <v>429</v>
      </c>
      <c r="F81"/>
      <c r="G81"/>
      <c r="H81"/>
      <c r="I81"/>
      <c r="J81"/>
      <c r="K81"/>
      <c r="L81"/>
      <c r="M81"/>
      <c r="N81"/>
      <c r="O81"/>
      <c r="P81" s="13"/>
    </row>
    <row r="82" spans="1:16" s="38" customFormat="1" ht="15.75">
      <c r="A82"/>
      <c r="B82" s="143"/>
      <c r="C82" s="86" t="s">
        <v>495</v>
      </c>
      <c r="F82"/>
      <c r="G82"/>
      <c r="H82"/>
      <c r="I82"/>
      <c r="J82"/>
      <c r="K82"/>
      <c r="L82"/>
      <c r="M82"/>
      <c r="N82"/>
      <c r="O82"/>
      <c r="P82" s="13"/>
    </row>
    <row r="83" spans="1:16" s="38" customFormat="1" ht="15.75">
      <c r="A83" s="247"/>
      <c r="B83" s="199"/>
      <c r="C83" s="25"/>
      <c r="F83" s="247"/>
      <c r="G83" s="247"/>
      <c r="H83" s="247"/>
      <c r="I83" s="247"/>
      <c r="J83" s="247"/>
      <c r="K83" s="247"/>
      <c r="L83" s="247"/>
      <c r="M83" s="247"/>
      <c r="N83" s="247"/>
      <c r="O83" s="247"/>
      <c r="P83" s="562"/>
    </row>
    <row r="84" ht="15.75">
      <c r="B84" s="56" t="s">
        <v>168</v>
      </c>
    </row>
    <row r="85" spans="1:17" s="89" customFormat="1" ht="18" customHeight="1">
      <c r="A85" s="50"/>
      <c r="B85" s="56" t="s">
        <v>169</v>
      </c>
      <c r="D85" s="56"/>
      <c r="E85" s="56"/>
      <c r="F85" s="56"/>
      <c r="G85" s="50"/>
      <c r="H85" s="50"/>
      <c r="I85" s="394"/>
      <c r="J85" s="50"/>
      <c r="K85" s="395"/>
      <c r="L85" s="88"/>
      <c r="N85" s="396"/>
      <c r="Q85" s="396"/>
    </row>
    <row r="86" spans="1:17" s="89" customFormat="1" ht="18" customHeight="1">
      <c r="A86" s="50"/>
      <c r="B86" s="56" t="s">
        <v>170</v>
      </c>
      <c r="D86" s="56"/>
      <c r="E86" s="56"/>
      <c r="F86" s="56"/>
      <c r="G86" s="50"/>
      <c r="H86" s="50"/>
      <c r="I86" s="394"/>
      <c r="J86" s="50"/>
      <c r="K86" s="395"/>
      <c r="L86" s="88"/>
      <c r="N86" s="396"/>
      <c r="Q86" s="396"/>
    </row>
    <row r="87" spans="1:17" s="89" customFormat="1" ht="18" customHeight="1">
      <c r="A87" s="50"/>
      <c r="B87" s="56" t="s">
        <v>171</v>
      </c>
      <c r="D87" s="56"/>
      <c r="E87" s="56"/>
      <c r="F87" s="56"/>
      <c r="G87" s="50"/>
      <c r="H87" s="50"/>
      <c r="I87" s="394"/>
      <c r="J87" s="50"/>
      <c r="K87" s="395"/>
      <c r="L87" s="88"/>
      <c r="N87" s="396"/>
      <c r="Q87" s="396"/>
    </row>
    <row r="89" ht="15.75">
      <c r="B89" s="65"/>
    </row>
  </sheetData>
  <sheetProtection/>
  <mergeCells count="27">
    <mergeCell ref="I6:M6"/>
    <mergeCell ref="N6:P7"/>
    <mergeCell ref="Q6:S6"/>
    <mergeCell ref="A1:B1"/>
    <mergeCell ref="A2:S2"/>
    <mergeCell ref="A3:S3"/>
    <mergeCell ref="A4:S4"/>
    <mergeCell ref="R8:R9"/>
    <mergeCell ref="S8:S9"/>
    <mergeCell ref="A10:B10"/>
    <mergeCell ref="I7:I9"/>
    <mergeCell ref="J7:J9"/>
    <mergeCell ref="K7:M7"/>
    <mergeCell ref="Q7:Q9"/>
    <mergeCell ref="R7:S7"/>
    <mergeCell ref="C8:C9"/>
    <mergeCell ref="D8:E8"/>
    <mergeCell ref="A11:B11"/>
    <mergeCell ref="L8:M8"/>
    <mergeCell ref="N8:N9"/>
    <mergeCell ref="O8:P8"/>
    <mergeCell ref="F8:F9"/>
    <mergeCell ref="G8:H8"/>
    <mergeCell ref="K8:K9"/>
    <mergeCell ref="A6:B9"/>
    <mergeCell ref="C6:E7"/>
    <mergeCell ref="F6:H7"/>
  </mergeCells>
  <printOptions/>
  <pageMargins left="0.5" right="0.25" top="0.25" bottom="0.25" header="0" footer="0"/>
  <pageSetup horizontalDpi="600" verticalDpi="600" orientation="landscape" paperSize="9" scale="65" r:id="rId2"/>
  <drawing r:id="rId1"/>
</worksheet>
</file>

<file path=xl/worksheets/sheet2.xml><?xml version="1.0" encoding="utf-8"?>
<worksheet xmlns="http://schemas.openxmlformats.org/spreadsheetml/2006/main" xmlns:r="http://schemas.openxmlformats.org/officeDocument/2006/relationships">
  <sheetPr>
    <tabColor theme="9" tint="-0.24997000396251678"/>
  </sheetPr>
  <dimension ref="A1:T114"/>
  <sheetViews>
    <sheetView zoomScale="75" zoomScaleNormal="75" zoomScalePageLayoutView="0" workbookViewId="0" topLeftCell="A7">
      <pane ySplit="1965" topLeftCell="A76" activePane="bottomLeft" state="split"/>
      <selection pane="topLeft" activeCell="A7" sqref="A7"/>
      <selection pane="bottomLeft" activeCell="C105" sqref="C105"/>
    </sheetView>
  </sheetViews>
  <sheetFormatPr defaultColWidth="9.140625" defaultRowHeight="12.75"/>
  <cols>
    <col min="1" max="1" width="4.421875" style="12" customWidth="1"/>
    <col min="2" max="2" width="52.00390625" style="199" customWidth="1"/>
    <col min="3" max="3" width="14.00390625" style="12" customWidth="1"/>
    <col min="4" max="4" width="23.421875" style="12" customWidth="1"/>
    <col min="5" max="5" width="25.8515625" style="12" customWidth="1"/>
    <col min="6" max="6" width="12.7109375" style="197" hidden="1" customWidth="1"/>
    <col min="7" max="7" width="12.7109375" style="12" hidden="1" customWidth="1"/>
    <col min="8" max="8" width="14.140625" style="196" customWidth="1"/>
    <col min="9" max="9" width="16.28125" style="196" customWidth="1"/>
    <col min="10" max="10" width="20.7109375" style="196" hidden="1" customWidth="1"/>
    <col min="11" max="11" width="20.7109375" style="12" customWidth="1"/>
    <col min="12" max="12" width="24.8515625" style="12" customWidth="1"/>
    <col min="13" max="13" width="20.7109375" style="12" customWidth="1"/>
    <col min="14" max="14" width="18.57421875" style="166" customWidth="1"/>
    <col min="15" max="16384" width="9.140625" style="4" customWidth="1"/>
  </cols>
  <sheetData>
    <row r="1" spans="1:13" ht="19.5" customHeight="1">
      <c r="A1" s="200" t="s">
        <v>318</v>
      </c>
      <c r="B1" s="200"/>
      <c r="C1" s="201"/>
      <c r="D1" s="201"/>
      <c r="E1" s="202"/>
      <c r="F1" s="203"/>
      <c r="G1" s="202"/>
      <c r="H1" s="204"/>
      <c r="I1" s="204"/>
      <c r="J1" s="204"/>
      <c r="K1" s="202"/>
      <c r="L1" s="202"/>
      <c r="M1" s="202"/>
    </row>
    <row r="2" spans="1:13" ht="23.25" customHeight="1">
      <c r="A2" s="832" t="s">
        <v>551</v>
      </c>
      <c r="B2" s="832"/>
      <c r="C2" s="832"/>
      <c r="D2" s="832"/>
      <c r="E2" s="832"/>
      <c r="F2" s="832"/>
      <c r="G2" s="832"/>
      <c r="H2" s="832"/>
      <c r="I2" s="832"/>
      <c r="J2" s="832"/>
      <c r="K2" s="832"/>
      <c r="L2" s="832"/>
      <c r="M2" s="832"/>
    </row>
    <row r="3" spans="1:13" ht="24" customHeight="1">
      <c r="A3" s="833" t="s">
        <v>552</v>
      </c>
      <c r="B3" s="833"/>
      <c r="C3" s="833"/>
      <c r="D3" s="833"/>
      <c r="E3" s="833"/>
      <c r="F3" s="833"/>
      <c r="G3" s="833"/>
      <c r="H3" s="833"/>
      <c r="I3" s="833"/>
      <c r="J3" s="833"/>
      <c r="K3" s="833"/>
      <c r="L3" s="833"/>
      <c r="M3" s="833"/>
    </row>
    <row r="4" spans="1:13" ht="24" customHeight="1">
      <c r="A4" s="832" t="s">
        <v>319</v>
      </c>
      <c r="B4" s="834"/>
      <c r="C4" s="834"/>
      <c r="D4" s="834"/>
      <c r="E4" s="834"/>
      <c r="F4" s="834"/>
      <c r="G4" s="834"/>
      <c r="H4" s="834"/>
      <c r="I4" s="834"/>
      <c r="J4" s="834"/>
      <c r="K4" s="834"/>
      <c r="L4" s="834"/>
      <c r="M4" s="834"/>
    </row>
    <row r="5" spans="1:13" ht="20.25" customHeight="1">
      <c r="A5" s="205"/>
      <c r="B5" s="205"/>
      <c r="C5" s="205"/>
      <c r="D5" s="205"/>
      <c r="E5" s="205"/>
      <c r="F5" s="206"/>
      <c r="G5" s="205"/>
      <c r="H5" s="207"/>
      <c r="I5" s="207"/>
      <c r="J5" s="207"/>
      <c r="K5" s="208"/>
      <c r="L5" s="209" t="s">
        <v>553</v>
      </c>
      <c r="M5" s="210"/>
    </row>
    <row r="6" spans="1:13" ht="48.75" customHeight="1">
      <c r="A6" s="813"/>
      <c r="B6" s="813"/>
      <c r="C6" s="835" t="s">
        <v>554</v>
      </c>
      <c r="D6" s="835"/>
      <c r="E6" s="835"/>
      <c r="F6" s="836" t="s">
        <v>555</v>
      </c>
      <c r="G6" s="837"/>
      <c r="H6" s="814" t="s">
        <v>556</v>
      </c>
      <c r="I6" s="814"/>
      <c r="J6" s="814"/>
      <c r="K6" s="814"/>
      <c r="L6" s="814"/>
      <c r="M6" s="814"/>
    </row>
    <row r="7" spans="1:13" ht="22.5" customHeight="1">
      <c r="A7" s="813"/>
      <c r="B7" s="813"/>
      <c r="C7" s="817" t="s">
        <v>511</v>
      </c>
      <c r="D7" s="838" t="s">
        <v>321</v>
      </c>
      <c r="E7" s="838"/>
      <c r="F7" s="839" t="s">
        <v>513</v>
      </c>
      <c r="G7" s="844" t="s">
        <v>514</v>
      </c>
      <c r="H7" s="817" t="s">
        <v>511</v>
      </c>
      <c r="I7" s="817" t="s">
        <v>512</v>
      </c>
      <c r="J7" s="819" t="s">
        <v>515</v>
      </c>
      <c r="K7" s="842" t="s">
        <v>320</v>
      </c>
      <c r="L7" s="842"/>
      <c r="M7" s="842"/>
    </row>
    <row r="8" spans="1:13" ht="22.5" customHeight="1">
      <c r="A8" s="813"/>
      <c r="B8" s="813"/>
      <c r="C8" s="817"/>
      <c r="D8" s="817" t="s">
        <v>512</v>
      </c>
      <c r="E8" s="842" t="s">
        <v>557</v>
      </c>
      <c r="F8" s="840"/>
      <c r="G8" s="845"/>
      <c r="H8" s="817"/>
      <c r="I8" s="817"/>
      <c r="J8" s="820"/>
      <c r="K8" s="842" t="s">
        <v>322</v>
      </c>
      <c r="L8" s="838" t="s">
        <v>321</v>
      </c>
      <c r="M8" s="838"/>
    </row>
    <row r="9" spans="1:13" ht="55.5" customHeight="1">
      <c r="A9" s="813"/>
      <c r="B9" s="813"/>
      <c r="C9" s="817"/>
      <c r="D9" s="817"/>
      <c r="E9" s="842"/>
      <c r="F9" s="841"/>
      <c r="G9" s="846"/>
      <c r="H9" s="817"/>
      <c r="I9" s="817"/>
      <c r="J9" s="821"/>
      <c r="K9" s="842"/>
      <c r="L9" s="167" t="s">
        <v>558</v>
      </c>
      <c r="M9" s="167" t="s">
        <v>559</v>
      </c>
    </row>
    <row r="10" spans="1:13" ht="16.5">
      <c r="A10" s="817" t="s">
        <v>323</v>
      </c>
      <c r="B10" s="817"/>
      <c r="C10" s="169">
        <v>1</v>
      </c>
      <c r="D10" s="169">
        <v>2</v>
      </c>
      <c r="E10" s="169">
        <v>3</v>
      </c>
      <c r="F10" s="170"/>
      <c r="G10" s="169"/>
      <c r="H10" s="169">
        <v>4</v>
      </c>
      <c r="I10" s="169">
        <v>5</v>
      </c>
      <c r="J10" s="169"/>
      <c r="K10" s="169">
        <v>6</v>
      </c>
      <c r="L10" s="169">
        <v>7</v>
      </c>
      <c r="M10" s="169">
        <v>8</v>
      </c>
    </row>
    <row r="11" spans="1:14" s="679" customFormat="1" ht="18.75">
      <c r="A11" s="843" t="s">
        <v>324</v>
      </c>
      <c r="B11" s="843"/>
      <c r="C11" s="676">
        <f>C12+C33</f>
        <v>846</v>
      </c>
      <c r="D11" s="676">
        <f>D12+D33</f>
        <v>274</v>
      </c>
      <c r="E11" s="676">
        <f>E12+E33</f>
        <v>572</v>
      </c>
      <c r="F11" s="677"/>
      <c r="G11" s="676"/>
      <c r="H11" s="676">
        <f>H39</f>
        <v>4261.5</v>
      </c>
      <c r="I11" s="676">
        <f>I39</f>
        <v>1448.5</v>
      </c>
      <c r="J11" s="676"/>
      <c r="K11" s="676">
        <f>K39</f>
        <v>2813</v>
      </c>
      <c r="L11" s="676">
        <f>L39</f>
        <v>1248</v>
      </c>
      <c r="M11" s="676">
        <f>M39</f>
        <v>1565</v>
      </c>
      <c r="N11" s="678"/>
    </row>
    <row r="12" spans="1:14" s="679" customFormat="1" ht="18.75">
      <c r="A12" s="843" t="s">
        <v>325</v>
      </c>
      <c r="B12" s="843"/>
      <c r="C12" s="641">
        <f>SUM(C13:C32)</f>
        <v>665.5</v>
      </c>
      <c r="D12" s="641">
        <f>SUM(D13:D32)</f>
        <v>214.5</v>
      </c>
      <c r="E12" s="641">
        <f>SUM(E13:E32)</f>
        <v>451</v>
      </c>
      <c r="F12" s="641">
        <f>SUM(F13:F32)</f>
        <v>0</v>
      </c>
      <c r="G12" s="641">
        <f>SUM(G13:G32)</f>
        <v>0</v>
      </c>
      <c r="H12" s="645" t="s">
        <v>527</v>
      </c>
      <c r="I12" s="645" t="s">
        <v>527</v>
      </c>
      <c r="J12" s="645"/>
      <c r="K12" s="645" t="s">
        <v>527</v>
      </c>
      <c r="L12" s="645" t="s">
        <v>527</v>
      </c>
      <c r="M12" s="645" t="s">
        <v>527</v>
      </c>
      <c r="N12" s="678"/>
    </row>
    <row r="13" spans="1:14" s="679" customFormat="1" ht="18.75">
      <c r="A13" s="642">
        <v>1</v>
      </c>
      <c r="B13" s="643" t="s">
        <v>479</v>
      </c>
      <c r="C13" s="641">
        <f>D13+E13</f>
        <v>79.5</v>
      </c>
      <c r="D13" s="721">
        <f>E13/4*2</f>
        <v>26.5</v>
      </c>
      <c r="E13" s="680">
        <v>53</v>
      </c>
      <c r="F13" s="681"/>
      <c r="G13" s="680"/>
      <c r="H13" s="645" t="s">
        <v>527</v>
      </c>
      <c r="I13" s="645" t="s">
        <v>527</v>
      </c>
      <c r="J13" s="645"/>
      <c r="K13" s="645" t="s">
        <v>527</v>
      </c>
      <c r="L13" s="645" t="s">
        <v>527</v>
      </c>
      <c r="M13" s="645" t="s">
        <v>527</v>
      </c>
      <c r="N13" s="678"/>
    </row>
    <row r="14" spans="1:14" s="679" customFormat="1" ht="18.75">
      <c r="A14" s="642">
        <v>2</v>
      </c>
      <c r="B14" s="648" t="s">
        <v>480</v>
      </c>
      <c r="C14" s="641">
        <f>D14+E14</f>
        <v>28</v>
      </c>
      <c r="D14" s="680">
        <v>10</v>
      </c>
      <c r="E14" s="680">
        <v>18</v>
      </c>
      <c r="F14" s="681"/>
      <c r="G14" s="680"/>
      <c r="H14" s="645" t="s">
        <v>527</v>
      </c>
      <c r="I14" s="645" t="s">
        <v>527</v>
      </c>
      <c r="J14" s="645"/>
      <c r="K14" s="645" t="s">
        <v>527</v>
      </c>
      <c r="L14" s="645" t="s">
        <v>527</v>
      </c>
      <c r="M14" s="645" t="s">
        <v>527</v>
      </c>
      <c r="N14" s="678"/>
    </row>
    <row r="15" spans="1:14" s="679" customFormat="1" ht="18.75">
      <c r="A15" s="642">
        <v>3</v>
      </c>
      <c r="B15" s="650" t="s">
        <v>465</v>
      </c>
      <c r="C15" s="641">
        <f aca="true" t="shared" si="0" ref="C15:C20">D15+E15</f>
        <v>81</v>
      </c>
      <c r="D15" s="721">
        <f>E15/4*2</f>
        <v>27</v>
      </c>
      <c r="E15" s="680">
        <v>54</v>
      </c>
      <c r="F15" s="681"/>
      <c r="G15" s="680"/>
      <c r="H15" s="645" t="s">
        <v>527</v>
      </c>
      <c r="I15" s="645" t="s">
        <v>527</v>
      </c>
      <c r="J15" s="645"/>
      <c r="K15" s="645" t="s">
        <v>527</v>
      </c>
      <c r="L15" s="645" t="s">
        <v>527</v>
      </c>
      <c r="M15" s="645" t="s">
        <v>527</v>
      </c>
      <c r="N15" s="678"/>
    </row>
    <row r="16" spans="1:14" s="679" customFormat="1" ht="18.75">
      <c r="A16" s="642">
        <v>4</v>
      </c>
      <c r="B16" s="648" t="s">
        <v>350</v>
      </c>
      <c r="C16" s="641">
        <f>D16+E16</f>
        <v>27</v>
      </c>
      <c r="D16" s="721">
        <f>E16/4*2</f>
        <v>9</v>
      </c>
      <c r="E16" s="680">
        <v>18</v>
      </c>
      <c r="F16" s="681"/>
      <c r="G16" s="680"/>
      <c r="H16" s="645" t="s">
        <v>527</v>
      </c>
      <c r="I16" s="645" t="s">
        <v>527</v>
      </c>
      <c r="J16" s="645"/>
      <c r="K16" s="645" t="s">
        <v>527</v>
      </c>
      <c r="L16" s="645" t="s">
        <v>527</v>
      </c>
      <c r="M16" s="645" t="s">
        <v>527</v>
      </c>
      <c r="N16" s="678"/>
    </row>
    <row r="17" spans="1:14" s="679" customFormat="1" ht="18.75">
      <c r="A17" s="642">
        <v>5</v>
      </c>
      <c r="B17" s="648" t="s">
        <v>355</v>
      </c>
      <c r="C17" s="641">
        <f t="shared" si="0"/>
        <v>7</v>
      </c>
      <c r="D17" s="721">
        <v>2</v>
      </c>
      <c r="E17" s="680">
        <v>5</v>
      </c>
      <c r="F17" s="681"/>
      <c r="G17" s="680"/>
      <c r="H17" s="645" t="s">
        <v>527</v>
      </c>
      <c r="I17" s="645" t="s">
        <v>527</v>
      </c>
      <c r="J17" s="645"/>
      <c r="K17" s="645" t="s">
        <v>527</v>
      </c>
      <c r="L17" s="645" t="s">
        <v>527</v>
      </c>
      <c r="M17" s="645" t="s">
        <v>527</v>
      </c>
      <c r="N17" s="678"/>
    </row>
    <row r="18" spans="1:14" s="679" customFormat="1" ht="18.75">
      <c r="A18" s="642">
        <v>6</v>
      </c>
      <c r="B18" s="648" t="s">
        <v>356</v>
      </c>
      <c r="C18" s="641">
        <f>D18+E18</f>
        <v>31</v>
      </c>
      <c r="D18" s="721">
        <v>3</v>
      </c>
      <c r="E18" s="680">
        <v>28</v>
      </c>
      <c r="F18" s="681"/>
      <c r="G18" s="680"/>
      <c r="H18" s="645" t="s">
        <v>527</v>
      </c>
      <c r="I18" s="645" t="s">
        <v>527</v>
      </c>
      <c r="J18" s="645"/>
      <c r="K18" s="645" t="s">
        <v>527</v>
      </c>
      <c r="L18" s="645" t="s">
        <v>527</v>
      </c>
      <c r="M18" s="645" t="s">
        <v>527</v>
      </c>
      <c r="N18" s="678"/>
    </row>
    <row r="19" spans="1:14" s="679" customFormat="1" ht="18.75">
      <c r="A19" s="642">
        <v>7</v>
      </c>
      <c r="B19" s="648" t="s">
        <v>481</v>
      </c>
      <c r="C19" s="641">
        <f t="shared" si="0"/>
        <v>27</v>
      </c>
      <c r="D19" s="721">
        <f>E19/4*2</f>
        <v>9</v>
      </c>
      <c r="E19" s="680">
        <v>18</v>
      </c>
      <c r="F19" s="681"/>
      <c r="G19" s="680"/>
      <c r="H19" s="645" t="s">
        <v>527</v>
      </c>
      <c r="I19" s="645" t="s">
        <v>527</v>
      </c>
      <c r="J19" s="645"/>
      <c r="K19" s="645" t="s">
        <v>527</v>
      </c>
      <c r="L19" s="645" t="s">
        <v>527</v>
      </c>
      <c r="M19" s="645" t="s">
        <v>527</v>
      </c>
      <c r="N19" s="678"/>
    </row>
    <row r="20" spans="1:14" s="679" customFormat="1" ht="18.75">
      <c r="A20" s="642">
        <v>8</v>
      </c>
      <c r="B20" s="651" t="s">
        <v>482</v>
      </c>
      <c r="C20" s="770">
        <f t="shared" si="0"/>
        <v>0</v>
      </c>
      <c r="D20" s="680"/>
      <c r="E20" s="680">
        <v>0</v>
      </c>
      <c r="F20" s="681"/>
      <c r="G20" s="680"/>
      <c r="H20" s="645" t="s">
        <v>527</v>
      </c>
      <c r="I20" s="645" t="s">
        <v>527</v>
      </c>
      <c r="J20" s="645"/>
      <c r="K20" s="645" t="s">
        <v>527</v>
      </c>
      <c r="L20" s="645" t="s">
        <v>527</v>
      </c>
      <c r="M20" s="645" t="s">
        <v>527</v>
      </c>
      <c r="N20" s="678"/>
    </row>
    <row r="21" spans="1:14" s="679" customFormat="1" ht="18.75">
      <c r="A21" s="642">
        <v>9</v>
      </c>
      <c r="B21" s="652" t="s">
        <v>483</v>
      </c>
      <c r="C21" s="641">
        <f aca="true" t="shared" si="1" ref="C21:C29">D21+E21</f>
        <v>25.5</v>
      </c>
      <c r="D21" s="721">
        <f>E21/4*2</f>
        <v>8.5</v>
      </c>
      <c r="E21" s="680">
        <v>17</v>
      </c>
      <c r="F21" s="681"/>
      <c r="G21" s="680"/>
      <c r="H21" s="645" t="s">
        <v>527</v>
      </c>
      <c r="I21" s="645" t="s">
        <v>527</v>
      </c>
      <c r="J21" s="645"/>
      <c r="K21" s="645" t="s">
        <v>527</v>
      </c>
      <c r="L21" s="645" t="s">
        <v>527</v>
      </c>
      <c r="M21" s="645" t="s">
        <v>527</v>
      </c>
      <c r="N21" s="678"/>
    </row>
    <row r="22" spans="1:14" s="679" customFormat="1" ht="18.75">
      <c r="A22" s="642">
        <v>10</v>
      </c>
      <c r="B22" s="648" t="s">
        <v>484</v>
      </c>
      <c r="C22" s="641">
        <f t="shared" si="1"/>
        <v>40.5</v>
      </c>
      <c r="D22" s="721">
        <f>E22/4*2</f>
        <v>13.5</v>
      </c>
      <c r="E22" s="680">
        <v>27</v>
      </c>
      <c r="F22" s="681"/>
      <c r="G22" s="680"/>
      <c r="H22" s="645" t="s">
        <v>527</v>
      </c>
      <c r="I22" s="645" t="s">
        <v>527</v>
      </c>
      <c r="J22" s="645"/>
      <c r="K22" s="645" t="s">
        <v>527</v>
      </c>
      <c r="L22" s="645" t="s">
        <v>527</v>
      </c>
      <c r="M22" s="645" t="s">
        <v>527</v>
      </c>
      <c r="N22" s="678"/>
    </row>
    <row r="23" spans="1:14" s="679" customFormat="1" ht="18.75">
      <c r="A23" s="642">
        <v>11</v>
      </c>
      <c r="B23" s="651" t="s">
        <v>447</v>
      </c>
      <c r="C23" s="641">
        <f t="shared" si="1"/>
        <v>120</v>
      </c>
      <c r="D23" s="721">
        <f>E23/4*2</f>
        <v>40</v>
      </c>
      <c r="E23" s="680">
        <v>80</v>
      </c>
      <c r="F23" s="681"/>
      <c r="G23" s="680"/>
      <c r="H23" s="645" t="s">
        <v>527</v>
      </c>
      <c r="I23" s="645" t="s">
        <v>527</v>
      </c>
      <c r="J23" s="645"/>
      <c r="K23" s="645" t="s">
        <v>527</v>
      </c>
      <c r="L23" s="645" t="s">
        <v>527</v>
      </c>
      <c r="M23" s="645" t="s">
        <v>527</v>
      </c>
      <c r="N23" s="678"/>
    </row>
    <row r="24" spans="1:14" s="679" customFormat="1" ht="18.75">
      <c r="A24" s="642">
        <v>12</v>
      </c>
      <c r="B24" s="648" t="s">
        <v>357</v>
      </c>
      <c r="C24" s="641">
        <f t="shared" si="1"/>
        <v>123</v>
      </c>
      <c r="D24" s="721">
        <f>E24/4*2</f>
        <v>41</v>
      </c>
      <c r="E24" s="680">
        <v>82</v>
      </c>
      <c r="F24" s="681"/>
      <c r="G24" s="680"/>
      <c r="H24" s="645" t="s">
        <v>527</v>
      </c>
      <c r="I24" s="645" t="s">
        <v>527</v>
      </c>
      <c r="J24" s="645"/>
      <c r="K24" s="645" t="s">
        <v>527</v>
      </c>
      <c r="L24" s="645" t="s">
        <v>527</v>
      </c>
      <c r="M24" s="645" t="s">
        <v>527</v>
      </c>
      <c r="N24" s="678"/>
    </row>
    <row r="25" spans="1:14" s="679" customFormat="1" ht="18.75">
      <c r="A25" s="642">
        <v>13</v>
      </c>
      <c r="B25" s="651" t="s">
        <v>358</v>
      </c>
      <c r="C25" s="641">
        <f t="shared" si="1"/>
        <v>22.5</v>
      </c>
      <c r="D25" s="721">
        <f>E25/4*2</f>
        <v>7.5</v>
      </c>
      <c r="E25" s="680">
        <v>15</v>
      </c>
      <c r="F25" s="681"/>
      <c r="G25" s="680"/>
      <c r="H25" s="645" t="s">
        <v>527</v>
      </c>
      <c r="I25" s="645" t="s">
        <v>527</v>
      </c>
      <c r="J25" s="645"/>
      <c r="K25" s="645" t="s">
        <v>527</v>
      </c>
      <c r="L25" s="645" t="s">
        <v>527</v>
      </c>
      <c r="M25" s="645" t="s">
        <v>527</v>
      </c>
      <c r="N25" s="678"/>
    </row>
    <row r="26" spans="1:14" s="679" customFormat="1" ht="18.75">
      <c r="A26" s="642">
        <v>14</v>
      </c>
      <c r="B26" s="648" t="s">
        <v>359</v>
      </c>
      <c r="C26" s="641">
        <f t="shared" si="1"/>
        <v>4</v>
      </c>
      <c r="D26" s="762">
        <v>1</v>
      </c>
      <c r="E26" s="680">
        <v>3</v>
      </c>
      <c r="F26" s="681"/>
      <c r="G26" s="680"/>
      <c r="H26" s="645" t="s">
        <v>527</v>
      </c>
      <c r="I26" s="645" t="s">
        <v>527</v>
      </c>
      <c r="J26" s="645"/>
      <c r="K26" s="645" t="s">
        <v>527</v>
      </c>
      <c r="L26" s="645" t="s">
        <v>527</v>
      </c>
      <c r="M26" s="645" t="s">
        <v>527</v>
      </c>
      <c r="N26" s="678"/>
    </row>
    <row r="27" spans="1:14" s="679" customFormat="1" ht="18.75">
      <c r="A27" s="642">
        <v>16</v>
      </c>
      <c r="B27" s="648" t="s">
        <v>486</v>
      </c>
      <c r="C27" s="641">
        <f t="shared" si="1"/>
        <v>9</v>
      </c>
      <c r="D27" s="721">
        <f>E27/4*2</f>
        <v>3</v>
      </c>
      <c r="E27" s="680">
        <v>6</v>
      </c>
      <c r="F27" s="681"/>
      <c r="G27" s="680"/>
      <c r="H27" s="645" t="s">
        <v>527</v>
      </c>
      <c r="I27" s="645" t="s">
        <v>527</v>
      </c>
      <c r="J27" s="645"/>
      <c r="K27" s="645" t="s">
        <v>527</v>
      </c>
      <c r="L27" s="645" t="s">
        <v>527</v>
      </c>
      <c r="M27" s="645" t="s">
        <v>527</v>
      </c>
      <c r="N27" s="678"/>
    </row>
    <row r="28" spans="1:14" s="679" customFormat="1" ht="18.75">
      <c r="A28" s="642">
        <v>17</v>
      </c>
      <c r="B28" s="648" t="s">
        <v>487</v>
      </c>
      <c r="C28" s="641"/>
      <c r="D28" s="680"/>
      <c r="E28" s="680"/>
      <c r="F28" s="681"/>
      <c r="G28" s="680"/>
      <c r="H28" s="645" t="s">
        <v>527</v>
      </c>
      <c r="I28" s="645" t="s">
        <v>527</v>
      </c>
      <c r="J28" s="645"/>
      <c r="K28" s="645" t="s">
        <v>527</v>
      </c>
      <c r="L28" s="645" t="s">
        <v>527</v>
      </c>
      <c r="M28" s="645" t="s">
        <v>527</v>
      </c>
      <c r="N28" s="678"/>
    </row>
    <row r="29" spans="1:14" s="679" customFormat="1" ht="18.75">
      <c r="A29" s="642">
        <v>18</v>
      </c>
      <c r="B29" s="648" t="s">
        <v>360</v>
      </c>
      <c r="C29" s="641">
        <f t="shared" si="1"/>
        <v>27</v>
      </c>
      <c r="D29" s="721">
        <f>E29/4*2</f>
        <v>9</v>
      </c>
      <c r="E29" s="680">
        <v>18</v>
      </c>
      <c r="F29" s="681"/>
      <c r="G29" s="680"/>
      <c r="H29" s="645" t="s">
        <v>527</v>
      </c>
      <c r="I29" s="645" t="s">
        <v>527</v>
      </c>
      <c r="J29" s="645"/>
      <c r="K29" s="645" t="s">
        <v>527</v>
      </c>
      <c r="L29" s="645" t="s">
        <v>527</v>
      </c>
      <c r="M29" s="645" t="s">
        <v>527</v>
      </c>
      <c r="N29" s="678"/>
    </row>
    <row r="30" spans="1:14" s="679" customFormat="1" ht="18.75">
      <c r="A30" s="642">
        <v>19</v>
      </c>
      <c r="B30" s="648" t="s">
        <v>488</v>
      </c>
      <c r="C30" s="641"/>
      <c r="D30" s="680"/>
      <c r="E30" s="680"/>
      <c r="F30" s="681"/>
      <c r="G30" s="680"/>
      <c r="H30" s="645" t="s">
        <v>527</v>
      </c>
      <c r="I30" s="645" t="s">
        <v>527</v>
      </c>
      <c r="J30" s="645"/>
      <c r="K30" s="645" t="s">
        <v>527</v>
      </c>
      <c r="L30" s="645" t="s">
        <v>527</v>
      </c>
      <c r="M30" s="645" t="s">
        <v>527</v>
      </c>
      <c r="N30" s="678"/>
    </row>
    <row r="31" spans="1:14" s="679" customFormat="1" ht="18.75">
      <c r="A31" s="642">
        <v>20</v>
      </c>
      <c r="B31" s="652" t="s">
        <v>361</v>
      </c>
      <c r="C31" s="641">
        <f>D31+E31</f>
        <v>3</v>
      </c>
      <c r="D31" s="721">
        <f>E31/4*2</f>
        <v>1</v>
      </c>
      <c r="E31" s="680">
        <v>2</v>
      </c>
      <c r="F31" s="681"/>
      <c r="G31" s="680"/>
      <c r="H31" s="645" t="s">
        <v>527</v>
      </c>
      <c r="I31" s="645" t="s">
        <v>527</v>
      </c>
      <c r="J31" s="645"/>
      <c r="K31" s="645" t="s">
        <v>527</v>
      </c>
      <c r="L31" s="645" t="s">
        <v>527</v>
      </c>
      <c r="M31" s="645" t="s">
        <v>527</v>
      </c>
      <c r="N31" s="678"/>
    </row>
    <row r="32" spans="1:14" s="679" customFormat="1" ht="18.75">
      <c r="A32" s="642">
        <v>21</v>
      </c>
      <c r="B32" s="651" t="s">
        <v>489</v>
      </c>
      <c r="C32" s="641">
        <f>D32+E32</f>
        <v>10.5</v>
      </c>
      <c r="D32" s="721">
        <f>E32/4*2</f>
        <v>3.5</v>
      </c>
      <c r="E32" s="680">
        <v>7</v>
      </c>
      <c r="F32" s="681"/>
      <c r="G32" s="680"/>
      <c r="H32" s="645" t="s">
        <v>527</v>
      </c>
      <c r="I32" s="645" t="s">
        <v>527</v>
      </c>
      <c r="J32" s="645"/>
      <c r="K32" s="645" t="s">
        <v>527</v>
      </c>
      <c r="L32" s="645" t="s">
        <v>527</v>
      </c>
      <c r="M32" s="645" t="s">
        <v>527</v>
      </c>
      <c r="N32" s="678"/>
    </row>
    <row r="33" spans="1:14" s="679" customFormat="1" ht="18.75">
      <c r="A33" s="847" t="s">
        <v>528</v>
      </c>
      <c r="B33" s="847"/>
      <c r="C33" s="676">
        <f aca="true" t="shared" si="2" ref="C33:C38">D33+E33</f>
        <v>180.5</v>
      </c>
      <c r="D33" s="721">
        <f>SUM(D34:D38)</f>
        <v>59.5</v>
      </c>
      <c r="E33" s="676">
        <f>SUM(E34:E38)</f>
        <v>121</v>
      </c>
      <c r="F33" s="676">
        <f>SUM(F34:F38)</f>
        <v>0</v>
      </c>
      <c r="G33" s="676">
        <f>SUM(G34:G38)</f>
        <v>0</v>
      </c>
      <c r="H33" s="645" t="s">
        <v>527</v>
      </c>
      <c r="I33" s="645" t="s">
        <v>527</v>
      </c>
      <c r="J33" s="645"/>
      <c r="K33" s="645" t="s">
        <v>527</v>
      </c>
      <c r="L33" s="645" t="s">
        <v>527</v>
      </c>
      <c r="M33" s="645" t="s">
        <v>527</v>
      </c>
      <c r="N33" s="678"/>
    </row>
    <row r="34" spans="1:14" s="679" customFormat="1" ht="18.75">
      <c r="A34" s="655">
        <v>1</v>
      </c>
      <c r="B34" s="656" t="s">
        <v>529</v>
      </c>
      <c r="C34" s="676">
        <f t="shared" si="2"/>
        <v>75</v>
      </c>
      <c r="D34" s="721">
        <f>E34/4*2</f>
        <v>25</v>
      </c>
      <c r="E34" s="680">
        <v>50</v>
      </c>
      <c r="F34" s="681"/>
      <c r="G34" s="680"/>
      <c r="H34" s="645" t="s">
        <v>527</v>
      </c>
      <c r="I34" s="645" t="s">
        <v>527</v>
      </c>
      <c r="J34" s="645"/>
      <c r="K34" s="645" t="s">
        <v>527</v>
      </c>
      <c r="L34" s="645" t="s">
        <v>527</v>
      </c>
      <c r="M34" s="645" t="s">
        <v>527</v>
      </c>
      <c r="N34" s="678"/>
    </row>
    <row r="35" spans="1:14" s="679" customFormat="1" ht="18.75">
      <c r="A35" s="655">
        <v>2</v>
      </c>
      <c r="B35" s="656" t="s">
        <v>530</v>
      </c>
      <c r="C35" s="676">
        <f t="shared" si="2"/>
        <v>73</v>
      </c>
      <c r="D35" s="721">
        <v>24</v>
      </c>
      <c r="E35" s="680">
        <v>49</v>
      </c>
      <c r="F35" s="681"/>
      <c r="G35" s="680"/>
      <c r="H35" s="645" t="s">
        <v>527</v>
      </c>
      <c r="I35" s="645" t="s">
        <v>527</v>
      </c>
      <c r="J35" s="645"/>
      <c r="K35" s="645" t="s">
        <v>527</v>
      </c>
      <c r="L35" s="645" t="s">
        <v>527</v>
      </c>
      <c r="M35" s="645" t="s">
        <v>527</v>
      </c>
      <c r="N35" s="678"/>
    </row>
    <row r="36" spans="1:14" s="679" customFormat="1" ht="18.75">
      <c r="A36" s="655">
        <v>3</v>
      </c>
      <c r="B36" s="656" t="s">
        <v>531</v>
      </c>
      <c r="C36" s="676">
        <f t="shared" si="2"/>
        <v>22.5</v>
      </c>
      <c r="D36" s="721">
        <f>E36/4*2</f>
        <v>7.5</v>
      </c>
      <c r="E36" s="680">
        <v>15</v>
      </c>
      <c r="F36" s="681"/>
      <c r="G36" s="680"/>
      <c r="H36" s="645" t="s">
        <v>527</v>
      </c>
      <c r="I36" s="645" t="s">
        <v>527</v>
      </c>
      <c r="J36" s="645"/>
      <c r="K36" s="645" t="s">
        <v>527</v>
      </c>
      <c r="L36" s="645" t="s">
        <v>527</v>
      </c>
      <c r="M36" s="645" t="s">
        <v>527</v>
      </c>
      <c r="N36" s="678"/>
    </row>
    <row r="37" spans="1:14" s="679" customFormat="1" ht="18.75">
      <c r="A37" s="655">
        <v>4</v>
      </c>
      <c r="B37" s="656" t="s">
        <v>532</v>
      </c>
      <c r="C37" s="676"/>
      <c r="D37" s="771"/>
      <c r="E37" s="680"/>
      <c r="F37" s="681"/>
      <c r="G37" s="680"/>
      <c r="H37" s="645" t="s">
        <v>527</v>
      </c>
      <c r="I37" s="645" t="s">
        <v>527</v>
      </c>
      <c r="J37" s="645"/>
      <c r="K37" s="645" t="s">
        <v>527</v>
      </c>
      <c r="L37" s="645" t="s">
        <v>527</v>
      </c>
      <c r="M37" s="645" t="s">
        <v>527</v>
      </c>
      <c r="N37" s="678"/>
    </row>
    <row r="38" spans="1:14" s="679" customFormat="1" ht="18.75">
      <c r="A38" s="655">
        <v>5</v>
      </c>
      <c r="B38" s="656" t="s">
        <v>533</v>
      </c>
      <c r="C38" s="676">
        <f t="shared" si="2"/>
        <v>10</v>
      </c>
      <c r="D38" s="721">
        <v>3</v>
      </c>
      <c r="E38" s="680">
        <f>4+3</f>
        <v>7</v>
      </c>
      <c r="F38" s="681"/>
      <c r="G38" s="680"/>
      <c r="H38" s="645" t="s">
        <v>527</v>
      </c>
      <c r="I38" s="645" t="s">
        <v>527</v>
      </c>
      <c r="J38" s="645"/>
      <c r="K38" s="645" t="s">
        <v>527</v>
      </c>
      <c r="L38" s="645" t="s">
        <v>527</v>
      </c>
      <c r="M38" s="645" t="s">
        <v>527</v>
      </c>
      <c r="N38" s="678"/>
    </row>
    <row r="39" spans="1:14" s="684" customFormat="1" ht="18.75">
      <c r="A39" s="843" t="s">
        <v>461</v>
      </c>
      <c r="B39" s="843"/>
      <c r="C39" s="645" t="s">
        <v>527</v>
      </c>
      <c r="D39" s="645" t="s">
        <v>527</v>
      </c>
      <c r="E39" s="645" t="s">
        <v>527</v>
      </c>
      <c r="F39" s="682"/>
      <c r="G39" s="645"/>
      <c r="H39" s="641">
        <f aca="true" t="shared" si="3" ref="H39:M39">SUM(H40:H102)</f>
        <v>4261.5</v>
      </c>
      <c r="I39" s="641">
        <f t="shared" si="3"/>
        <v>1448.5</v>
      </c>
      <c r="J39" s="641">
        <f t="shared" si="3"/>
        <v>1406.5</v>
      </c>
      <c r="K39" s="641">
        <f t="shared" si="3"/>
        <v>2813</v>
      </c>
      <c r="L39" s="641">
        <f t="shared" si="3"/>
        <v>1248</v>
      </c>
      <c r="M39" s="641">
        <f t="shared" si="3"/>
        <v>1565</v>
      </c>
      <c r="N39" s="683"/>
    </row>
    <row r="40" spans="1:14" s="684" customFormat="1" ht="18.75">
      <c r="A40" s="685">
        <v>1</v>
      </c>
      <c r="B40" s="686" t="s">
        <v>449</v>
      </c>
      <c r="C40" s="645" t="s">
        <v>527</v>
      </c>
      <c r="D40" s="645" t="s">
        <v>527</v>
      </c>
      <c r="E40" s="645" t="s">
        <v>527</v>
      </c>
      <c r="F40" s="682">
        <f>H40/'[1]1'!$P$16</f>
        <v>1.5972222222222223</v>
      </c>
      <c r="G40" s="645">
        <f>H40-'[1]1'!$P$16</f>
        <v>43</v>
      </c>
      <c r="H40" s="687">
        <f aca="true" t="shared" si="4" ref="H40:H71">I40+K40</f>
        <v>115</v>
      </c>
      <c r="I40" s="688">
        <v>38</v>
      </c>
      <c r="J40" s="689">
        <f aca="true" t="shared" si="5" ref="J40:J71">(K40/4)*2</f>
        <v>38.5</v>
      </c>
      <c r="K40" s="687">
        <f aca="true" t="shared" si="6" ref="K40:K71">L40+M40</f>
        <v>77</v>
      </c>
      <c r="L40" s="688">
        <v>29</v>
      </c>
      <c r="M40" s="688">
        <v>48</v>
      </c>
      <c r="N40" s="678"/>
    </row>
    <row r="41" spans="1:14" s="684" customFormat="1" ht="18.75">
      <c r="A41" s="685">
        <v>2</v>
      </c>
      <c r="B41" s="686" t="s">
        <v>534</v>
      </c>
      <c r="C41" s="645" t="s">
        <v>527</v>
      </c>
      <c r="D41" s="645" t="s">
        <v>527</v>
      </c>
      <c r="E41" s="645" t="s">
        <v>527</v>
      </c>
      <c r="F41" s="682">
        <f>H41/'[1]1'!$P$17</f>
        <v>0.75</v>
      </c>
      <c r="G41" s="645">
        <f>H41-'[1]1'!$P$17</f>
        <v>-19</v>
      </c>
      <c r="H41" s="687">
        <f t="shared" si="4"/>
        <v>57</v>
      </c>
      <c r="I41" s="688">
        <v>19</v>
      </c>
      <c r="J41" s="689">
        <f t="shared" si="5"/>
        <v>19</v>
      </c>
      <c r="K41" s="687">
        <f t="shared" si="6"/>
        <v>38</v>
      </c>
      <c r="L41" s="688">
        <v>24</v>
      </c>
      <c r="M41" s="688">
        <v>14</v>
      </c>
      <c r="N41" s="678"/>
    </row>
    <row r="42" spans="1:14" s="684" customFormat="1" ht="18.75">
      <c r="A42" s="685">
        <v>3</v>
      </c>
      <c r="B42" s="686" t="s">
        <v>451</v>
      </c>
      <c r="C42" s="645" t="s">
        <v>527</v>
      </c>
      <c r="D42" s="645" t="s">
        <v>527</v>
      </c>
      <c r="E42" s="645" t="s">
        <v>527</v>
      </c>
      <c r="F42" s="682">
        <f>H42/'[1]1'!$P$18</f>
        <v>2.918918918918919</v>
      </c>
      <c r="G42" s="645">
        <f>H42-'[1]1'!$P$18</f>
        <v>71</v>
      </c>
      <c r="H42" s="687">
        <f t="shared" si="4"/>
        <v>108</v>
      </c>
      <c r="I42" s="688">
        <v>36</v>
      </c>
      <c r="J42" s="689">
        <f t="shared" si="5"/>
        <v>36</v>
      </c>
      <c r="K42" s="687">
        <f t="shared" si="6"/>
        <v>72</v>
      </c>
      <c r="L42" s="690">
        <v>27</v>
      </c>
      <c r="M42" s="690">
        <v>45</v>
      </c>
      <c r="N42" s="678"/>
    </row>
    <row r="43" spans="1:14" s="684" customFormat="1" ht="18.75">
      <c r="A43" s="685">
        <v>4</v>
      </c>
      <c r="B43" s="686" t="s">
        <v>452</v>
      </c>
      <c r="C43" s="645" t="s">
        <v>527</v>
      </c>
      <c r="D43" s="645" t="s">
        <v>527</v>
      </c>
      <c r="E43" s="645" t="s">
        <v>527</v>
      </c>
      <c r="F43" s="682">
        <f>H43/'[1]1'!$P$19</f>
        <v>1.0465116279069768</v>
      </c>
      <c r="G43" s="645">
        <f>H43-'[1]1'!$P$19</f>
        <v>2</v>
      </c>
      <c r="H43" s="687">
        <f t="shared" si="4"/>
        <v>45</v>
      </c>
      <c r="I43" s="688">
        <v>15</v>
      </c>
      <c r="J43" s="689">
        <f t="shared" si="5"/>
        <v>15</v>
      </c>
      <c r="K43" s="687">
        <f t="shared" si="6"/>
        <v>30</v>
      </c>
      <c r="L43" s="688">
        <v>13</v>
      </c>
      <c r="M43" s="688">
        <v>17</v>
      </c>
      <c r="N43" s="678"/>
    </row>
    <row r="44" spans="1:14" s="684" customFormat="1" ht="18.75">
      <c r="A44" s="685">
        <v>5</v>
      </c>
      <c r="B44" s="686" t="s">
        <v>453</v>
      </c>
      <c r="C44" s="645" t="s">
        <v>527</v>
      </c>
      <c r="D44" s="645" t="s">
        <v>527</v>
      </c>
      <c r="E44" s="645" t="s">
        <v>527</v>
      </c>
      <c r="F44" s="682">
        <f>H44/'[1]1'!$P$20</f>
        <v>0.8108108108108109</v>
      </c>
      <c r="G44" s="645">
        <f>H44-'[1]1'!$P$20</f>
        <v>-7</v>
      </c>
      <c r="H44" s="687">
        <f t="shared" si="4"/>
        <v>30</v>
      </c>
      <c r="I44" s="688">
        <v>10</v>
      </c>
      <c r="J44" s="689">
        <f t="shared" si="5"/>
        <v>10</v>
      </c>
      <c r="K44" s="687">
        <f t="shared" si="6"/>
        <v>20</v>
      </c>
      <c r="L44" s="688">
        <v>8</v>
      </c>
      <c r="M44" s="688">
        <v>12</v>
      </c>
      <c r="N44" s="678"/>
    </row>
    <row r="45" spans="1:14" s="684" customFormat="1" ht="18.75">
      <c r="A45" s="685">
        <v>6</v>
      </c>
      <c r="B45" s="686" t="s">
        <v>454</v>
      </c>
      <c r="C45" s="645" t="s">
        <v>527</v>
      </c>
      <c r="D45" s="645" t="s">
        <v>527</v>
      </c>
      <c r="E45" s="645" t="s">
        <v>527</v>
      </c>
      <c r="F45" s="682">
        <f>H45/'[1]1'!$P$21</f>
        <v>9.142857142857142</v>
      </c>
      <c r="G45" s="645">
        <f>H45-'[1]1'!$P$21</f>
        <v>57</v>
      </c>
      <c r="H45" s="687">
        <f t="shared" si="4"/>
        <v>64</v>
      </c>
      <c r="I45" s="688">
        <v>16</v>
      </c>
      <c r="J45" s="689">
        <f t="shared" si="5"/>
        <v>24</v>
      </c>
      <c r="K45" s="687">
        <f t="shared" si="6"/>
        <v>48</v>
      </c>
      <c r="L45" s="688">
        <v>4</v>
      </c>
      <c r="M45" s="688">
        <v>44</v>
      </c>
      <c r="N45" s="678"/>
    </row>
    <row r="46" spans="1:14" s="684" customFormat="1" ht="18.75">
      <c r="A46" s="685">
        <v>7</v>
      </c>
      <c r="B46" s="686" t="s">
        <v>455</v>
      </c>
      <c r="C46" s="645" t="s">
        <v>527</v>
      </c>
      <c r="D46" s="645" t="s">
        <v>527</v>
      </c>
      <c r="E46" s="645" t="s">
        <v>527</v>
      </c>
      <c r="F46" s="682">
        <f>H46/'[1]1'!$P$22</f>
        <v>0.5645161290322581</v>
      </c>
      <c r="G46" s="645">
        <f>H46-'[1]1'!$P$22</f>
        <v>-27</v>
      </c>
      <c r="H46" s="691">
        <f t="shared" si="4"/>
        <v>35</v>
      </c>
      <c r="I46" s="692">
        <v>15</v>
      </c>
      <c r="J46" s="692">
        <f t="shared" si="5"/>
        <v>10</v>
      </c>
      <c r="K46" s="691">
        <f t="shared" si="6"/>
        <v>20</v>
      </c>
      <c r="L46" s="692"/>
      <c r="M46" s="688">
        <v>20</v>
      </c>
      <c r="N46" s="678" t="s">
        <v>560</v>
      </c>
    </row>
    <row r="47" spans="1:14" s="684" customFormat="1" ht="18.75">
      <c r="A47" s="685">
        <v>8</v>
      </c>
      <c r="B47" s="693" t="s">
        <v>456</v>
      </c>
      <c r="C47" s="645" t="s">
        <v>527</v>
      </c>
      <c r="D47" s="645" t="s">
        <v>527</v>
      </c>
      <c r="E47" s="645" t="s">
        <v>527</v>
      </c>
      <c r="F47" s="682">
        <f>H47/'[1]1'!$P$23</f>
        <v>1.1176470588235294</v>
      </c>
      <c r="G47" s="645">
        <f>H47-'[1]1'!$P$23</f>
        <v>4</v>
      </c>
      <c r="H47" s="687">
        <f t="shared" si="4"/>
        <v>38</v>
      </c>
      <c r="I47" s="688">
        <v>13</v>
      </c>
      <c r="J47" s="689">
        <f t="shared" si="5"/>
        <v>12.5</v>
      </c>
      <c r="K47" s="687">
        <f t="shared" si="6"/>
        <v>25</v>
      </c>
      <c r="L47" s="688">
        <v>11</v>
      </c>
      <c r="M47" s="688">
        <v>14</v>
      </c>
      <c r="N47" s="678"/>
    </row>
    <row r="48" spans="1:14" s="684" customFormat="1" ht="18.75">
      <c r="A48" s="685">
        <v>9</v>
      </c>
      <c r="B48" s="686" t="s">
        <v>457</v>
      </c>
      <c r="C48" s="645" t="s">
        <v>527</v>
      </c>
      <c r="D48" s="645" t="s">
        <v>527</v>
      </c>
      <c r="E48" s="645" t="s">
        <v>527</v>
      </c>
      <c r="F48" s="682">
        <f>H48/'[1]1'!$P$24</f>
        <v>0.9705882352941176</v>
      </c>
      <c r="G48" s="645">
        <f>H48-'[1]1'!$P$24</f>
        <v>-2</v>
      </c>
      <c r="H48" s="687">
        <f t="shared" si="4"/>
        <v>66</v>
      </c>
      <c r="I48" s="688">
        <v>22</v>
      </c>
      <c r="J48" s="689">
        <f t="shared" si="5"/>
        <v>22</v>
      </c>
      <c r="K48" s="687">
        <f t="shared" si="6"/>
        <v>44</v>
      </c>
      <c r="L48" s="688">
        <v>33</v>
      </c>
      <c r="M48" s="688">
        <v>11</v>
      </c>
      <c r="N48" s="678"/>
    </row>
    <row r="49" spans="1:14" s="684" customFormat="1" ht="18.75">
      <c r="A49" s="685">
        <v>10</v>
      </c>
      <c r="B49" s="686" t="s">
        <v>362</v>
      </c>
      <c r="C49" s="645" t="s">
        <v>527</v>
      </c>
      <c r="D49" s="645" t="s">
        <v>527</v>
      </c>
      <c r="E49" s="645" t="s">
        <v>527</v>
      </c>
      <c r="F49" s="682">
        <f>H49/'[1]1'!$P$25</f>
        <v>1.0266666666666666</v>
      </c>
      <c r="G49" s="645">
        <f>H49-'[1]1'!$P$25</f>
        <v>2</v>
      </c>
      <c r="H49" s="687">
        <f t="shared" si="4"/>
        <v>77</v>
      </c>
      <c r="I49" s="694">
        <v>26</v>
      </c>
      <c r="J49" s="689">
        <f t="shared" si="5"/>
        <v>25.5</v>
      </c>
      <c r="K49" s="687">
        <f t="shared" si="6"/>
        <v>51</v>
      </c>
      <c r="L49" s="688">
        <v>13</v>
      </c>
      <c r="M49" s="688">
        <v>38</v>
      </c>
      <c r="N49" s="678"/>
    </row>
    <row r="50" spans="1:14" s="695" customFormat="1" ht="18.75">
      <c r="A50" s="685">
        <v>11</v>
      </c>
      <c r="B50" s="686" t="s">
        <v>363</v>
      </c>
      <c r="C50" s="645" t="s">
        <v>527</v>
      </c>
      <c r="D50" s="645" t="s">
        <v>527</v>
      </c>
      <c r="E50" s="645" t="s">
        <v>527</v>
      </c>
      <c r="F50" s="682">
        <f>H50/'[1]1'!$P$26</f>
        <v>1.1911764705882353</v>
      </c>
      <c r="G50" s="645">
        <f>H50-'[1]1'!$P$26</f>
        <v>13</v>
      </c>
      <c r="H50" s="687">
        <f t="shared" si="4"/>
        <v>81</v>
      </c>
      <c r="I50" s="688">
        <v>27</v>
      </c>
      <c r="J50" s="689">
        <f t="shared" si="5"/>
        <v>27</v>
      </c>
      <c r="K50" s="687">
        <f t="shared" si="6"/>
        <v>54</v>
      </c>
      <c r="L50" s="688">
        <v>9</v>
      </c>
      <c r="M50" s="688">
        <v>45</v>
      </c>
      <c r="N50" s="678"/>
    </row>
    <row r="51" spans="1:14" s="684" customFormat="1" ht="18.75">
      <c r="A51" s="685">
        <v>12</v>
      </c>
      <c r="B51" s="686" t="s">
        <v>364</v>
      </c>
      <c r="C51" s="645" t="s">
        <v>527</v>
      </c>
      <c r="D51" s="645" t="s">
        <v>527</v>
      </c>
      <c r="E51" s="645" t="s">
        <v>527</v>
      </c>
      <c r="F51" s="682">
        <f>H51/'[1]1'!$P$27</f>
        <v>1.2413793103448276</v>
      </c>
      <c r="G51" s="645">
        <f>H51-'[1]1'!$P$27</f>
        <v>7</v>
      </c>
      <c r="H51" s="687">
        <f t="shared" si="4"/>
        <v>36</v>
      </c>
      <c r="I51" s="688">
        <v>12</v>
      </c>
      <c r="J51" s="689">
        <f t="shared" si="5"/>
        <v>12</v>
      </c>
      <c r="K51" s="687">
        <f t="shared" si="6"/>
        <v>24</v>
      </c>
      <c r="L51" s="688">
        <v>5</v>
      </c>
      <c r="M51" s="688">
        <v>19</v>
      </c>
      <c r="N51" s="678"/>
    </row>
    <row r="52" spans="1:14" s="684" customFormat="1" ht="18.75">
      <c r="A52" s="685">
        <v>13</v>
      </c>
      <c r="B52" s="686" t="s">
        <v>365</v>
      </c>
      <c r="C52" s="645" t="s">
        <v>527</v>
      </c>
      <c r="D52" s="645" t="s">
        <v>527</v>
      </c>
      <c r="E52" s="645" t="s">
        <v>527</v>
      </c>
      <c r="F52" s="682">
        <f>H52/'[1]1'!$P$28</f>
        <v>0.42857142857142855</v>
      </c>
      <c r="G52" s="645">
        <f>H52-'[1]1'!$P$28</f>
        <v>-16</v>
      </c>
      <c r="H52" s="687">
        <f t="shared" si="4"/>
        <v>12</v>
      </c>
      <c r="I52" s="694">
        <v>4</v>
      </c>
      <c r="J52" s="689">
        <f t="shared" si="5"/>
        <v>4</v>
      </c>
      <c r="K52" s="687">
        <f t="shared" si="6"/>
        <v>8</v>
      </c>
      <c r="L52" s="688">
        <v>2</v>
      </c>
      <c r="M52" s="688">
        <v>6</v>
      </c>
      <c r="N52" s="678"/>
    </row>
    <row r="53" spans="1:14" s="678" customFormat="1" ht="18.75">
      <c r="A53" s="685">
        <v>14</v>
      </c>
      <c r="B53" s="686" t="s">
        <v>366</v>
      </c>
      <c r="C53" s="645" t="s">
        <v>527</v>
      </c>
      <c r="D53" s="645" t="s">
        <v>527</v>
      </c>
      <c r="E53" s="645" t="s">
        <v>527</v>
      </c>
      <c r="F53" s="682">
        <f>H53/'[1]1'!$P$29</f>
        <v>3.5714285714285716</v>
      </c>
      <c r="G53" s="645">
        <f>H53-'[1]1'!$P$29</f>
        <v>36</v>
      </c>
      <c r="H53" s="687">
        <f t="shared" si="4"/>
        <v>50</v>
      </c>
      <c r="I53" s="688">
        <v>18</v>
      </c>
      <c r="J53" s="689">
        <f t="shared" si="5"/>
        <v>16</v>
      </c>
      <c r="K53" s="687">
        <f t="shared" si="6"/>
        <v>32</v>
      </c>
      <c r="L53" s="688">
        <v>2</v>
      </c>
      <c r="M53" s="688">
        <v>30</v>
      </c>
      <c r="N53" s="678" t="s">
        <v>561</v>
      </c>
    </row>
    <row r="54" spans="1:14" s="695" customFormat="1" ht="18.75">
      <c r="A54" s="685">
        <v>15</v>
      </c>
      <c r="B54" s="686" t="s">
        <v>367</v>
      </c>
      <c r="C54" s="645" t="s">
        <v>527</v>
      </c>
      <c r="D54" s="645" t="s">
        <v>527</v>
      </c>
      <c r="E54" s="645" t="s">
        <v>527</v>
      </c>
      <c r="F54" s="682">
        <f>H54/'[1]1'!$P$30</f>
        <v>0.9056603773584906</v>
      </c>
      <c r="G54" s="645">
        <f>H54-'[1]1'!$P$30</f>
        <v>-5</v>
      </c>
      <c r="H54" s="687">
        <f t="shared" si="4"/>
        <v>48</v>
      </c>
      <c r="I54" s="688">
        <v>12</v>
      </c>
      <c r="J54" s="689">
        <f t="shared" si="5"/>
        <v>18</v>
      </c>
      <c r="K54" s="687">
        <f t="shared" si="6"/>
        <v>36</v>
      </c>
      <c r="L54" s="688"/>
      <c r="M54" s="688">
        <v>36</v>
      </c>
      <c r="N54" s="678"/>
    </row>
    <row r="55" spans="1:14" s="684" customFormat="1" ht="18.75">
      <c r="A55" s="685">
        <v>16</v>
      </c>
      <c r="B55" s="686" t="s">
        <v>368</v>
      </c>
      <c r="C55" s="645" t="s">
        <v>527</v>
      </c>
      <c r="D55" s="645" t="s">
        <v>527</v>
      </c>
      <c r="E55" s="645" t="s">
        <v>527</v>
      </c>
      <c r="F55" s="682">
        <f>H55/'[1]1'!$P$31</f>
        <v>0.8867924528301887</v>
      </c>
      <c r="G55" s="645">
        <f>H55-'[1]1'!$P$31</f>
        <v>-6</v>
      </c>
      <c r="H55" s="687">
        <f t="shared" si="4"/>
        <v>47</v>
      </c>
      <c r="I55" s="688">
        <v>16</v>
      </c>
      <c r="J55" s="689">
        <f t="shared" si="5"/>
        <v>15.5</v>
      </c>
      <c r="K55" s="687">
        <f t="shared" si="6"/>
        <v>31</v>
      </c>
      <c r="L55" s="688">
        <v>7</v>
      </c>
      <c r="M55" s="688">
        <v>24</v>
      </c>
      <c r="N55" s="678"/>
    </row>
    <row r="56" spans="1:14" s="684" customFormat="1" ht="18.75">
      <c r="A56" s="685">
        <v>17</v>
      </c>
      <c r="B56" s="686" t="s">
        <v>369</v>
      </c>
      <c r="C56" s="645" t="s">
        <v>527</v>
      </c>
      <c r="D56" s="645" t="s">
        <v>527</v>
      </c>
      <c r="E56" s="645" t="s">
        <v>527</v>
      </c>
      <c r="F56" s="682">
        <f>H56/'[1]1'!$P$32</f>
        <v>1.0526315789473684</v>
      </c>
      <c r="G56" s="645">
        <f>H56-'[1]1'!$P$32</f>
        <v>2</v>
      </c>
      <c r="H56" s="687">
        <f t="shared" si="4"/>
        <v>40</v>
      </c>
      <c r="I56" s="688">
        <v>10</v>
      </c>
      <c r="J56" s="689">
        <f t="shared" si="5"/>
        <v>15</v>
      </c>
      <c r="K56" s="687">
        <f t="shared" si="6"/>
        <v>30</v>
      </c>
      <c r="L56" s="688">
        <v>16</v>
      </c>
      <c r="M56" s="688">
        <v>14</v>
      </c>
      <c r="N56" s="678"/>
    </row>
    <row r="57" spans="1:14" s="695" customFormat="1" ht="18.75">
      <c r="A57" s="685">
        <v>18</v>
      </c>
      <c r="B57" s="686" t="s">
        <v>370</v>
      </c>
      <c r="C57" s="645" t="s">
        <v>527</v>
      </c>
      <c r="D57" s="645" t="s">
        <v>527</v>
      </c>
      <c r="E57" s="645" t="s">
        <v>527</v>
      </c>
      <c r="F57" s="682">
        <f>H57/'[1]1'!$P$33</f>
        <v>1.0163934426229508</v>
      </c>
      <c r="G57" s="645">
        <f>H57-'[1]1'!$P$33</f>
        <v>1</v>
      </c>
      <c r="H57" s="687">
        <f t="shared" si="4"/>
        <v>62</v>
      </c>
      <c r="I57" s="688">
        <v>21</v>
      </c>
      <c r="J57" s="689">
        <f t="shared" si="5"/>
        <v>20.5</v>
      </c>
      <c r="K57" s="687">
        <f t="shared" si="6"/>
        <v>41</v>
      </c>
      <c r="L57" s="688">
        <v>9</v>
      </c>
      <c r="M57" s="688">
        <v>32</v>
      </c>
      <c r="N57" s="678"/>
    </row>
    <row r="58" spans="1:14" s="684" customFormat="1" ht="18.75">
      <c r="A58" s="685">
        <v>19</v>
      </c>
      <c r="B58" s="686" t="s">
        <v>371</v>
      </c>
      <c r="C58" s="645" t="s">
        <v>527</v>
      </c>
      <c r="D58" s="645" t="s">
        <v>527</v>
      </c>
      <c r="E58" s="645" t="s">
        <v>527</v>
      </c>
      <c r="F58" s="682">
        <f>H58/'[1]1'!$P$34</f>
        <v>0.7662337662337663</v>
      </c>
      <c r="G58" s="645">
        <f>H58-'[1]1'!$P$34</f>
        <v>-18</v>
      </c>
      <c r="H58" s="687">
        <f t="shared" si="4"/>
        <v>59</v>
      </c>
      <c r="I58" s="688">
        <v>20</v>
      </c>
      <c r="J58" s="689">
        <f t="shared" si="5"/>
        <v>19.5</v>
      </c>
      <c r="K58" s="687">
        <f t="shared" si="6"/>
        <v>39</v>
      </c>
      <c r="L58" s="688">
        <v>16</v>
      </c>
      <c r="M58" s="688">
        <v>23</v>
      </c>
      <c r="N58" s="678"/>
    </row>
    <row r="59" spans="1:14" s="684" customFormat="1" ht="18.75">
      <c r="A59" s="685">
        <v>20</v>
      </c>
      <c r="B59" s="686" t="s">
        <v>372</v>
      </c>
      <c r="C59" s="645" t="s">
        <v>527</v>
      </c>
      <c r="D59" s="645" t="s">
        <v>527</v>
      </c>
      <c r="E59" s="645" t="s">
        <v>527</v>
      </c>
      <c r="F59" s="682">
        <f>H59/'[1]1'!$P$35</f>
        <v>0.9827586206896551</v>
      </c>
      <c r="G59" s="645">
        <f>H59-'[1]1'!$P$35</f>
        <v>-1</v>
      </c>
      <c r="H59" s="687">
        <f t="shared" si="4"/>
        <v>57</v>
      </c>
      <c r="I59" s="688">
        <v>19</v>
      </c>
      <c r="J59" s="689">
        <f t="shared" si="5"/>
        <v>19</v>
      </c>
      <c r="K59" s="687">
        <f t="shared" si="6"/>
        <v>38</v>
      </c>
      <c r="L59" s="688">
        <v>7</v>
      </c>
      <c r="M59" s="688">
        <v>31</v>
      </c>
      <c r="N59" s="678"/>
    </row>
    <row r="60" spans="1:14" s="684" customFormat="1" ht="18.75">
      <c r="A60" s="685">
        <v>21</v>
      </c>
      <c r="B60" s="686" t="s">
        <v>373</v>
      </c>
      <c r="C60" s="645" t="s">
        <v>527</v>
      </c>
      <c r="D60" s="645" t="s">
        <v>527</v>
      </c>
      <c r="E60" s="645" t="s">
        <v>527</v>
      </c>
      <c r="F60" s="682">
        <f>H60/'[1]1'!$P$36</f>
        <v>0.55</v>
      </c>
      <c r="G60" s="645">
        <f>H60-'[1]1'!$P$36</f>
        <v>-27</v>
      </c>
      <c r="H60" s="687">
        <f t="shared" si="4"/>
        <v>33</v>
      </c>
      <c r="I60" s="688">
        <v>11</v>
      </c>
      <c r="J60" s="689">
        <f t="shared" si="5"/>
        <v>11</v>
      </c>
      <c r="K60" s="687">
        <f t="shared" si="6"/>
        <v>22</v>
      </c>
      <c r="L60" s="688">
        <v>9</v>
      </c>
      <c r="M60" s="688">
        <v>13</v>
      </c>
      <c r="N60" s="678"/>
    </row>
    <row r="61" spans="1:14" s="684" customFormat="1" ht="18.75">
      <c r="A61" s="685">
        <v>22</v>
      </c>
      <c r="B61" s="686" t="s">
        <v>374</v>
      </c>
      <c r="C61" s="645" t="s">
        <v>527</v>
      </c>
      <c r="D61" s="645" t="s">
        <v>527</v>
      </c>
      <c r="E61" s="645" t="s">
        <v>527</v>
      </c>
      <c r="F61" s="682">
        <f>H61/'[1]1'!$P$37</f>
        <v>0.5806451612903226</v>
      </c>
      <c r="G61" s="645">
        <f>H61-'[1]1'!$P$37</f>
        <v>-13</v>
      </c>
      <c r="H61" s="687">
        <f t="shared" si="4"/>
        <v>18</v>
      </c>
      <c r="I61" s="688">
        <v>6</v>
      </c>
      <c r="J61" s="689">
        <f t="shared" si="5"/>
        <v>6</v>
      </c>
      <c r="K61" s="687">
        <f t="shared" si="6"/>
        <v>12</v>
      </c>
      <c r="L61" s="688">
        <v>1</v>
      </c>
      <c r="M61" s="688">
        <v>11</v>
      </c>
      <c r="N61" s="678"/>
    </row>
    <row r="62" spans="1:14" s="695" customFormat="1" ht="18.75">
      <c r="A62" s="685">
        <v>23</v>
      </c>
      <c r="B62" s="686" t="s">
        <v>375</v>
      </c>
      <c r="C62" s="645" t="s">
        <v>527</v>
      </c>
      <c r="D62" s="645" t="s">
        <v>527</v>
      </c>
      <c r="E62" s="645" t="s">
        <v>527</v>
      </c>
      <c r="F62" s="682">
        <f>H62/'[1]1'!$P$38</f>
        <v>1.7924528301886793</v>
      </c>
      <c r="G62" s="645">
        <f>H62-'[1]1'!$P$38</f>
        <v>42</v>
      </c>
      <c r="H62" s="687">
        <f t="shared" si="4"/>
        <v>95</v>
      </c>
      <c r="I62" s="688">
        <v>25</v>
      </c>
      <c r="J62" s="689">
        <f t="shared" si="5"/>
        <v>35</v>
      </c>
      <c r="K62" s="687">
        <f t="shared" si="6"/>
        <v>70</v>
      </c>
      <c r="L62" s="688">
        <v>35</v>
      </c>
      <c r="M62" s="688">
        <v>35</v>
      </c>
      <c r="N62" s="678"/>
    </row>
    <row r="63" spans="1:14" s="684" customFormat="1" ht="18.75">
      <c r="A63" s="685">
        <v>24</v>
      </c>
      <c r="B63" s="686" t="s">
        <v>376</v>
      </c>
      <c r="C63" s="645" t="s">
        <v>527</v>
      </c>
      <c r="D63" s="645" t="s">
        <v>527</v>
      </c>
      <c r="E63" s="645" t="s">
        <v>527</v>
      </c>
      <c r="F63" s="682">
        <f>H63/'[1]1'!$P$39</f>
        <v>1.7</v>
      </c>
      <c r="G63" s="645">
        <f>H63-'[1]1'!$P$39</f>
        <v>56</v>
      </c>
      <c r="H63" s="687">
        <f t="shared" si="4"/>
        <v>136</v>
      </c>
      <c r="I63" s="688">
        <v>45</v>
      </c>
      <c r="J63" s="689">
        <f t="shared" si="5"/>
        <v>45.5</v>
      </c>
      <c r="K63" s="687">
        <f t="shared" si="6"/>
        <v>91</v>
      </c>
      <c r="L63" s="688">
        <v>31</v>
      </c>
      <c r="M63" s="688">
        <v>60</v>
      </c>
      <c r="N63" s="678"/>
    </row>
    <row r="64" spans="1:14" s="684" customFormat="1" ht="18.75">
      <c r="A64" s="685">
        <v>25</v>
      </c>
      <c r="B64" s="686" t="s">
        <v>377</v>
      </c>
      <c r="C64" s="645" t="s">
        <v>527</v>
      </c>
      <c r="D64" s="645" t="s">
        <v>527</v>
      </c>
      <c r="E64" s="645" t="s">
        <v>527</v>
      </c>
      <c r="F64" s="682">
        <f>H64/'[1]1'!$P$40</f>
        <v>1.40625</v>
      </c>
      <c r="G64" s="645">
        <f>H64-'[1]1'!$P$40</f>
        <v>26</v>
      </c>
      <c r="H64" s="687">
        <f t="shared" si="4"/>
        <v>90</v>
      </c>
      <c r="I64" s="688">
        <v>30</v>
      </c>
      <c r="J64" s="689">
        <f t="shared" si="5"/>
        <v>30</v>
      </c>
      <c r="K64" s="687">
        <f t="shared" si="6"/>
        <v>60</v>
      </c>
      <c r="L64" s="688">
        <v>24</v>
      </c>
      <c r="M64" s="688">
        <v>36</v>
      </c>
      <c r="N64" s="678"/>
    </row>
    <row r="65" spans="1:14" s="684" customFormat="1" ht="18.75">
      <c r="A65" s="685">
        <v>26</v>
      </c>
      <c r="B65" s="686" t="s">
        <v>378</v>
      </c>
      <c r="C65" s="645" t="s">
        <v>527</v>
      </c>
      <c r="D65" s="645" t="s">
        <v>527</v>
      </c>
      <c r="E65" s="645" t="s">
        <v>527</v>
      </c>
      <c r="F65" s="682">
        <f>H65/'[1]1'!$P$41</f>
        <v>1.2244897959183674</v>
      </c>
      <c r="G65" s="645">
        <f>H65-'[1]1'!$P$41</f>
        <v>11</v>
      </c>
      <c r="H65" s="687">
        <f t="shared" si="4"/>
        <v>60</v>
      </c>
      <c r="I65" s="694">
        <v>20</v>
      </c>
      <c r="J65" s="689">
        <f t="shared" si="5"/>
        <v>20</v>
      </c>
      <c r="K65" s="687">
        <f t="shared" si="6"/>
        <v>40</v>
      </c>
      <c r="L65" s="688">
        <v>35</v>
      </c>
      <c r="M65" s="688">
        <v>5</v>
      </c>
      <c r="N65" s="678"/>
    </row>
    <row r="66" spans="1:14" s="684" customFormat="1" ht="18.75">
      <c r="A66" s="685">
        <v>27</v>
      </c>
      <c r="B66" s="686" t="s">
        <v>379</v>
      </c>
      <c r="C66" s="645" t="s">
        <v>527</v>
      </c>
      <c r="D66" s="645" t="s">
        <v>527</v>
      </c>
      <c r="E66" s="645" t="s">
        <v>527</v>
      </c>
      <c r="F66" s="682">
        <f>H66/'[1]1'!$P$42</f>
        <v>3.0701754385964914</v>
      </c>
      <c r="G66" s="645">
        <f>H66-'[1]1'!$P$42</f>
        <v>118</v>
      </c>
      <c r="H66" s="687">
        <f t="shared" si="4"/>
        <v>175</v>
      </c>
      <c r="I66" s="688">
        <v>36</v>
      </c>
      <c r="J66" s="689">
        <f t="shared" si="5"/>
        <v>69.5</v>
      </c>
      <c r="K66" s="687">
        <f t="shared" si="6"/>
        <v>139</v>
      </c>
      <c r="L66" s="688">
        <v>118</v>
      </c>
      <c r="M66" s="688">
        <v>21</v>
      </c>
      <c r="N66" s="678"/>
    </row>
    <row r="67" spans="1:14" s="684" customFormat="1" ht="18.75">
      <c r="A67" s="685">
        <v>28</v>
      </c>
      <c r="B67" s="686" t="s">
        <v>380</v>
      </c>
      <c r="C67" s="645" t="s">
        <v>527</v>
      </c>
      <c r="D67" s="645" t="s">
        <v>527</v>
      </c>
      <c r="E67" s="645" t="s">
        <v>527</v>
      </c>
      <c r="F67" s="682">
        <f>H67/'[1]1'!$P$43</f>
        <v>0.6111111111111112</v>
      </c>
      <c r="G67" s="645">
        <f>H67-'[1]1'!$P$43</f>
        <v>-28</v>
      </c>
      <c r="H67" s="687">
        <f t="shared" si="4"/>
        <v>44</v>
      </c>
      <c r="I67" s="688">
        <v>15</v>
      </c>
      <c r="J67" s="689">
        <f t="shared" si="5"/>
        <v>14.5</v>
      </c>
      <c r="K67" s="687">
        <f t="shared" si="6"/>
        <v>29</v>
      </c>
      <c r="L67" s="688">
        <v>16</v>
      </c>
      <c r="M67" s="688">
        <v>13</v>
      </c>
      <c r="N67" s="678"/>
    </row>
    <row r="68" spans="1:14" s="684" customFormat="1" ht="18.75">
      <c r="A68" s="685">
        <v>29</v>
      </c>
      <c r="B68" s="686" t="s">
        <v>541</v>
      </c>
      <c r="C68" s="645" t="s">
        <v>527</v>
      </c>
      <c r="D68" s="645" t="s">
        <v>527</v>
      </c>
      <c r="E68" s="645" t="s">
        <v>527</v>
      </c>
      <c r="F68" s="682">
        <f>H68/'[1]1'!$P$44</f>
        <v>1.4318181818181819</v>
      </c>
      <c r="G68" s="645">
        <f>H68-'[1]1'!$P$44</f>
        <v>19</v>
      </c>
      <c r="H68" s="687">
        <f t="shared" si="4"/>
        <v>63</v>
      </c>
      <c r="I68" s="688">
        <v>21</v>
      </c>
      <c r="J68" s="689">
        <f t="shared" si="5"/>
        <v>21</v>
      </c>
      <c r="K68" s="687">
        <f t="shared" si="6"/>
        <v>42</v>
      </c>
      <c r="L68" s="688">
        <v>9</v>
      </c>
      <c r="M68" s="688">
        <v>33</v>
      </c>
      <c r="N68" s="678"/>
    </row>
    <row r="69" spans="1:14" s="695" customFormat="1" ht="18.75">
      <c r="A69" s="685">
        <v>30</v>
      </c>
      <c r="B69" s="686" t="s">
        <v>382</v>
      </c>
      <c r="C69" s="645" t="s">
        <v>527</v>
      </c>
      <c r="D69" s="645" t="s">
        <v>527</v>
      </c>
      <c r="E69" s="645" t="s">
        <v>527</v>
      </c>
      <c r="F69" s="682">
        <f>H69/'[1]1'!$P$45</f>
        <v>0.06956521739130435</v>
      </c>
      <c r="G69" s="645">
        <f>H69-'[1]1'!$P$45</f>
        <v>-107</v>
      </c>
      <c r="H69" s="687">
        <f t="shared" si="4"/>
        <v>8</v>
      </c>
      <c r="I69" s="688">
        <v>5</v>
      </c>
      <c r="J69" s="689">
        <f t="shared" si="5"/>
        <v>1.5</v>
      </c>
      <c r="K69" s="687">
        <f t="shared" si="6"/>
        <v>3</v>
      </c>
      <c r="L69" s="688">
        <v>2</v>
      </c>
      <c r="M69" s="688">
        <v>1</v>
      </c>
      <c r="N69" s="678"/>
    </row>
    <row r="70" spans="1:14" s="684" customFormat="1" ht="18.75">
      <c r="A70" s="685">
        <v>31</v>
      </c>
      <c r="B70" s="686" t="s">
        <v>542</v>
      </c>
      <c r="C70" s="645" t="s">
        <v>527</v>
      </c>
      <c r="D70" s="645" t="s">
        <v>527</v>
      </c>
      <c r="E70" s="645" t="s">
        <v>527</v>
      </c>
      <c r="F70" s="682">
        <f>H70/'[1]1'!$P$46</f>
        <v>1.0606060606060606</v>
      </c>
      <c r="G70" s="645">
        <f>H70-'[1]1'!$P$46</f>
        <v>2</v>
      </c>
      <c r="H70" s="691">
        <f t="shared" si="4"/>
        <v>35</v>
      </c>
      <c r="I70" s="692">
        <v>12</v>
      </c>
      <c r="J70" s="692">
        <f t="shared" si="5"/>
        <v>11.5</v>
      </c>
      <c r="K70" s="691">
        <f t="shared" si="6"/>
        <v>23</v>
      </c>
      <c r="L70" s="692"/>
      <c r="M70" s="688">
        <v>23</v>
      </c>
      <c r="N70" s="678" t="s">
        <v>560</v>
      </c>
    </row>
    <row r="71" spans="1:14" s="697" customFormat="1" ht="18.75">
      <c r="A71" s="685">
        <v>32</v>
      </c>
      <c r="B71" s="686" t="s">
        <v>384</v>
      </c>
      <c r="C71" s="645" t="s">
        <v>527</v>
      </c>
      <c r="D71" s="645" t="s">
        <v>527</v>
      </c>
      <c r="E71" s="645" t="s">
        <v>527</v>
      </c>
      <c r="F71" s="682">
        <f>H71/'[1]1'!$P$47</f>
        <v>0.4375</v>
      </c>
      <c r="G71" s="645">
        <f>H71-'[1]1'!$P$47</f>
        <v>-18</v>
      </c>
      <c r="H71" s="687">
        <f t="shared" si="4"/>
        <v>14</v>
      </c>
      <c r="I71" s="688">
        <v>5</v>
      </c>
      <c r="J71" s="689">
        <f t="shared" si="5"/>
        <v>4.5</v>
      </c>
      <c r="K71" s="687">
        <f t="shared" si="6"/>
        <v>9</v>
      </c>
      <c r="L71" s="688">
        <v>1</v>
      </c>
      <c r="M71" s="688">
        <v>8</v>
      </c>
      <c r="N71" s="696"/>
    </row>
    <row r="72" spans="1:14" s="695" customFormat="1" ht="18.75">
      <c r="A72" s="685">
        <v>33</v>
      </c>
      <c r="B72" s="686" t="s">
        <v>385</v>
      </c>
      <c r="C72" s="645" t="s">
        <v>527</v>
      </c>
      <c r="D72" s="645" t="s">
        <v>527</v>
      </c>
      <c r="E72" s="645" t="s">
        <v>527</v>
      </c>
      <c r="F72" s="682">
        <f>H72/'[1]1'!$P$48</f>
        <v>1.4137931034482758</v>
      </c>
      <c r="G72" s="645">
        <f>H72-'[1]1'!$P$48</f>
        <v>24</v>
      </c>
      <c r="H72" s="687">
        <f aca="true" t="shared" si="7" ref="H72:H102">I72+K72</f>
        <v>82</v>
      </c>
      <c r="I72" s="688">
        <v>26</v>
      </c>
      <c r="J72" s="689">
        <f aca="true" t="shared" si="8" ref="J72:J102">(K72/4)*2</f>
        <v>28</v>
      </c>
      <c r="K72" s="687">
        <f aca="true" t="shared" si="9" ref="K72:K102">L72+M72</f>
        <v>56</v>
      </c>
      <c r="L72" s="688">
        <v>5</v>
      </c>
      <c r="M72" s="688">
        <v>51</v>
      </c>
      <c r="N72" s="678"/>
    </row>
    <row r="73" spans="1:14" s="679" customFormat="1" ht="18.75">
      <c r="A73" s="685">
        <v>34</v>
      </c>
      <c r="B73" s="686" t="s">
        <v>386</v>
      </c>
      <c r="C73" s="645" t="s">
        <v>527</v>
      </c>
      <c r="D73" s="645" t="s">
        <v>527</v>
      </c>
      <c r="E73" s="645" t="s">
        <v>527</v>
      </c>
      <c r="F73" s="682">
        <f>H73/'[1]1'!$P$49</f>
        <v>1.4594594594594594</v>
      </c>
      <c r="G73" s="645">
        <f>H73-'[1]1'!$P$49</f>
        <v>17</v>
      </c>
      <c r="H73" s="687">
        <f t="shared" si="7"/>
        <v>54</v>
      </c>
      <c r="I73" s="688">
        <v>18</v>
      </c>
      <c r="J73" s="689">
        <f t="shared" si="8"/>
        <v>18</v>
      </c>
      <c r="K73" s="687">
        <f t="shared" si="9"/>
        <v>36</v>
      </c>
      <c r="L73" s="688">
        <v>20</v>
      </c>
      <c r="M73" s="688">
        <v>16</v>
      </c>
      <c r="N73" s="678"/>
    </row>
    <row r="74" spans="1:14" s="679" customFormat="1" ht="18.75">
      <c r="A74" s="685">
        <v>35</v>
      </c>
      <c r="B74" s="686" t="s">
        <v>387</v>
      </c>
      <c r="C74" s="645" t="s">
        <v>527</v>
      </c>
      <c r="D74" s="645" t="s">
        <v>527</v>
      </c>
      <c r="E74" s="645" t="s">
        <v>527</v>
      </c>
      <c r="F74" s="682">
        <f>H74/'[1]1'!$P$50</f>
        <v>1.49</v>
      </c>
      <c r="G74" s="645">
        <f>H74-'[1]1'!$P$50</f>
        <v>49</v>
      </c>
      <c r="H74" s="687">
        <f t="shared" si="7"/>
        <v>149</v>
      </c>
      <c r="I74" s="688">
        <v>50</v>
      </c>
      <c r="J74" s="689">
        <f t="shared" si="8"/>
        <v>49.5</v>
      </c>
      <c r="K74" s="687">
        <f t="shared" si="9"/>
        <v>99</v>
      </c>
      <c r="L74" s="688">
        <v>45</v>
      </c>
      <c r="M74" s="688">
        <v>54</v>
      </c>
      <c r="N74" s="678"/>
    </row>
    <row r="75" spans="1:14" s="679" customFormat="1" ht="18.75">
      <c r="A75" s="685">
        <v>36</v>
      </c>
      <c r="B75" s="686" t="s">
        <v>388</v>
      </c>
      <c r="C75" s="645" t="s">
        <v>527</v>
      </c>
      <c r="D75" s="645" t="s">
        <v>527</v>
      </c>
      <c r="E75" s="645" t="s">
        <v>527</v>
      </c>
      <c r="F75" s="682">
        <f>H75/'[1]1'!$P$51</f>
        <v>0.6428571428571429</v>
      </c>
      <c r="G75" s="645">
        <f>H75-'[1]1'!$P$51</f>
        <v>-10</v>
      </c>
      <c r="H75" s="687">
        <f t="shared" si="7"/>
        <v>18</v>
      </c>
      <c r="I75" s="688">
        <v>6</v>
      </c>
      <c r="J75" s="689">
        <f t="shared" si="8"/>
        <v>6</v>
      </c>
      <c r="K75" s="687">
        <f t="shared" si="9"/>
        <v>12</v>
      </c>
      <c r="L75" s="688">
        <v>3</v>
      </c>
      <c r="M75" s="688">
        <v>9</v>
      </c>
      <c r="N75" s="678"/>
    </row>
    <row r="76" spans="1:14" s="679" customFormat="1" ht="18.75">
      <c r="A76" s="685">
        <v>37</v>
      </c>
      <c r="B76" s="686" t="s">
        <v>389</v>
      </c>
      <c r="C76" s="645" t="s">
        <v>527</v>
      </c>
      <c r="D76" s="645" t="s">
        <v>527</v>
      </c>
      <c r="E76" s="645" t="s">
        <v>527</v>
      </c>
      <c r="F76" s="682">
        <f>H76/'[1]1'!$P$52</f>
        <v>2.0172413793103448</v>
      </c>
      <c r="G76" s="645">
        <f>H76-'[1]1'!$P$52</f>
        <v>59</v>
      </c>
      <c r="H76" s="687">
        <f t="shared" si="7"/>
        <v>117</v>
      </c>
      <c r="I76" s="688">
        <v>82</v>
      </c>
      <c r="J76" s="689">
        <f t="shared" si="8"/>
        <v>17.5</v>
      </c>
      <c r="K76" s="687">
        <f t="shared" si="9"/>
        <v>35</v>
      </c>
      <c r="L76" s="688">
        <v>20</v>
      </c>
      <c r="M76" s="688">
        <v>15</v>
      </c>
      <c r="N76" s="678" t="s">
        <v>561</v>
      </c>
    </row>
    <row r="77" spans="1:14" s="679" customFormat="1" ht="18.75">
      <c r="A77" s="685">
        <v>38</v>
      </c>
      <c r="B77" s="686" t="s">
        <v>390</v>
      </c>
      <c r="C77" s="645" t="s">
        <v>527</v>
      </c>
      <c r="D77" s="645" t="s">
        <v>527</v>
      </c>
      <c r="E77" s="645" t="s">
        <v>527</v>
      </c>
      <c r="F77" s="682">
        <f>H77/'[1]1'!$P$53</f>
        <v>0.8507462686567164</v>
      </c>
      <c r="G77" s="645">
        <f>H77-'[1]1'!$P$53</f>
        <v>-10</v>
      </c>
      <c r="H77" s="687">
        <f t="shared" si="7"/>
        <v>57</v>
      </c>
      <c r="I77" s="688">
        <v>19</v>
      </c>
      <c r="J77" s="689">
        <f t="shared" si="8"/>
        <v>19</v>
      </c>
      <c r="K77" s="687">
        <f t="shared" si="9"/>
        <v>38</v>
      </c>
      <c r="L77" s="688">
        <v>26</v>
      </c>
      <c r="M77" s="688">
        <v>12</v>
      </c>
      <c r="N77" s="678"/>
    </row>
    <row r="78" spans="1:14" s="679" customFormat="1" ht="18.75">
      <c r="A78" s="685">
        <v>39</v>
      </c>
      <c r="B78" s="686" t="s">
        <v>391</v>
      </c>
      <c r="C78" s="645" t="s">
        <v>527</v>
      </c>
      <c r="D78" s="645" t="s">
        <v>527</v>
      </c>
      <c r="E78" s="645" t="s">
        <v>527</v>
      </c>
      <c r="F78" s="682">
        <f>H78/'[1]1'!$P$54</f>
        <v>0.375</v>
      </c>
      <c r="G78" s="645">
        <f>H78-'[1]1'!$P$54</f>
        <v>-25</v>
      </c>
      <c r="H78" s="687">
        <f t="shared" si="7"/>
        <v>15</v>
      </c>
      <c r="I78" s="688">
        <v>5</v>
      </c>
      <c r="J78" s="689">
        <f t="shared" si="8"/>
        <v>5</v>
      </c>
      <c r="K78" s="687">
        <f t="shared" si="9"/>
        <v>10</v>
      </c>
      <c r="L78" s="688">
        <v>3</v>
      </c>
      <c r="M78" s="688">
        <v>7</v>
      </c>
      <c r="N78" s="678"/>
    </row>
    <row r="79" spans="1:14" s="679" customFormat="1" ht="18.75">
      <c r="A79" s="685">
        <v>40</v>
      </c>
      <c r="B79" s="686" t="s">
        <v>392</v>
      </c>
      <c r="C79" s="645" t="s">
        <v>527</v>
      </c>
      <c r="D79" s="645" t="s">
        <v>527</v>
      </c>
      <c r="E79" s="645" t="s">
        <v>527</v>
      </c>
      <c r="F79" s="682">
        <f>H79/'[1]1'!$P$55</f>
        <v>1.2685714285714285</v>
      </c>
      <c r="G79" s="645">
        <f>H79-'[1]1'!$P$55</f>
        <v>94</v>
      </c>
      <c r="H79" s="687">
        <f t="shared" si="7"/>
        <v>444</v>
      </c>
      <c r="I79" s="694">
        <v>148</v>
      </c>
      <c r="J79" s="689">
        <f t="shared" si="8"/>
        <v>148</v>
      </c>
      <c r="K79" s="687">
        <f t="shared" si="9"/>
        <v>296</v>
      </c>
      <c r="L79" s="688">
        <v>209</v>
      </c>
      <c r="M79" s="688">
        <v>87</v>
      </c>
      <c r="N79" s="678"/>
    </row>
    <row r="80" spans="1:14" s="679" customFormat="1" ht="18.75">
      <c r="A80" s="685">
        <v>41</v>
      </c>
      <c r="B80" s="686" t="s">
        <v>545</v>
      </c>
      <c r="C80" s="645" t="s">
        <v>527</v>
      </c>
      <c r="D80" s="645" t="s">
        <v>527</v>
      </c>
      <c r="E80" s="645" t="s">
        <v>527</v>
      </c>
      <c r="F80" s="682">
        <f>H80/'[1]1'!$P$56</f>
        <v>3.0357142857142856</v>
      </c>
      <c r="G80" s="645">
        <f>H80-'[1]1'!$P$56</f>
        <v>57</v>
      </c>
      <c r="H80" s="687">
        <f t="shared" si="7"/>
        <v>85</v>
      </c>
      <c r="I80" s="688">
        <v>28</v>
      </c>
      <c r="J80" s="689">
        <f t="shared" si="8"/>
        <v>28.5</v>
      </c>
      <c r="K80" s="687">
        <f t="shared" si="9"/>
        <v>57</v>
      </c>
      <c r="L80" s="688">
        <v>9</v>
      </c>
      <c r="M80" s="688">
        <v>48</v>
      </c>
      <c r="N80" s="678"/>
    </row>
    <row r="81" spans="1:14" s="679" customFormat="1" ht="18.75">
      <c r="A81" s="685">
        <v>42</v>
      </c>
      <c r="B81" s="686" t="s">
        <v>394</v>
      </c>
      <c r="C81" s="645" t="s">
        <v>527</v>
      </c>
      <c r="D81" s="645" t="s">
        <v>527</v>
      </c>
      <c r="E81" s="645" t="s">
        <v>527</v>
      </c>
      <c r="F81" s="682">
        <f>H81/'[1]1'!$P$57</f>
        <v>1.7083333333333333</v>
      </c>
      <c r="G81" s="645">
        <f>H81-'[1]1'!$P$57</f>
        <v>34</v>
      </c>
      <c r="H81" s="687">
        <f t="shared" si="7"/>
        <v>82</v>
      </c>
      <c r="I81" s="688">
        <v>28</v>
      </c>
      <c r="J81" s="689">
        <f t="shared" si="8"/>
        <v>27</v>
      </c>
      <c r="K81" s="687">
        <f t="shared" si="9"/>
        <v>54</v>
      </c>
      <c r="L81" s="688">
        <v>13</v>
      </c>
      <c r="M81" s="688">
        <v>41</v>
      </c>
      <c r="N81" s="678" t="s">
        <v>562</v>
      </c>
    </row>
    <row r="82" spans="1:14" s="679" customFormat="1" ht="18.75">
      <c r="A82" s="685">
        <v>43</v>
      </c>
      <c r="B82" s="686" t="s">
        <v>395</v>
      </c>
      <c r="C82" s="645" t="s">
        <v>527</v>
      </c>
      <c r="D82" s="645" t="s">
        <v>527</v>
      </c>
      <c r="E82" s="645" t="s">
        <v>527</v>
      </c>
      <c r="F82" s="682">
        <f>H82/'[1]1'!$P$58</f>
        <v>0.7433628318584071</v>
      </c>
      <c r="G82" s="645">
        <f>H82-'[1]1'!$P$58</f>
        <v>-29</v>
      </c>
      <c r="H82" s="687">
        <f t="shared" si="7"/>
        <v>84</v>
      </c>
      <c r="I82" s="688">
        <v>28</v>
      </c>
      <c r="J82" s="689">
        <f t="shared" si="8"/>
        <v>28</v>
      </c>
      <c r="K82" s="687">
        <f t="shared" si="9"/>
        <v>56</v>
      </c>
      <c r="L82" s="688">
        <v>36</v>
      </c>
      <c r="M82" s="688">
        <v>20</v>
      </c>
      <c r="N82" s="678"/>
    </row>
    <row r="83" spans="1:14" s="679" customFormat="1" ht="18.75">
      <c r="A83" s="685">
        <v>44</v>
      </c>
      <c r="B83" s="686" t="s">
        <v>396</v>
      </c>
      <c r="C83" s="645" t="s">
        <v>527</v>
      </c>
      <c r="D83" s="645" t="s">
        <v>527</v>
      </c>
      <c r="E83" s="645" t="s">
        <v>527</v>
      </c>
      <c r="F83" s="682">
        <f>H83/'[1]1'!$P$59</f>
        <v>0.9428571428571428</v>
      </c>
      <c r="G83" s="645">
        <f>H83-'[1]1'!$P$59</f>
        <v>-2</v>
      </c>
      <c r="H83" s="687">
        <f t="shared" si="7"/>
        <v>33</v>
      </c>
      <c r="I83" s="688">
        <v>11</v>
      </c>
      <c r="J83" s="689">
        <f t="shared" si="8"/>
        <v>11</v>
      </c>
      <c r="K83" s="687">
        <f t="shared" si="9"/>
        <v>22</v>
      </c>
      <c r="L83" s="688">
        <v>4</v>
      </c>
      <c r="M83" s="688">
        <v>18</v>
      </c>
      <c r="N83" s="678"/>
    </row>
    <row r="84" spans="1:14" s="679" customFormat="1" ht="18.75">
      <c r="A84" s="685">
        <v>45</v>
      </c>
      <c r="B84" s="693" t="s">
        <v>397</v>
      </c>
      <c r="C84" s="645" t="s">
        <v>527</v>
      </c>
      <c r="D84" s="645" t="s">
        <v>527</v>
      </c>
      <c r="E84" s="645" t="s">
        <v>527</v>
      </c>
      <c r="F84" s="682">
        <f>H84/'[1]1'!$P$60</f>
        <v>0.8275862068965517</v>
      </c>
      <c r="G84" s="645">
        <f>H84-'[1]1'!$P$60</f>
        <v>-10</v>
      </c>
      <c r="H84" s="687">
        <f t="shared" si="7"/>
        <v>48</v>
      </c>
      <c r="I84" s="688">
        <v>16</v>
      </c>
      <c r="J84" s="689">
        <f t="shared" si="8"/>
        <v>16</v>
      </c>
      <c r="K84" s="687">
        <f t="shared" si="9"/>
        <v>32</v>
      </c>
      <c r="L84" s="688">
        <v>23</v>
      </c>
      <c r="M84" s="688">
        <v>9</v>
      </c>
      <c r="N84" s="678"/>
    </row>
    <row r="85" spans="1:14" s="679" customFormat="1" ht="18.75">
      <c r="A85" s="685">
        <v>46</v>
      </c>
      <c r="B85" s="686" t="s">
        <v>398</v>
      </c>
      <c r="C85" s="645" t="s">
        <v>527</v>
      </c>
      <c r="D85" s="645" t="s">
        <v>527</v>
      </c>
      <c r="E85" s="645" t="s">
        <v>527</v>
      </c>
      <c r="F85" s="682">
        <f>H85/'[1]1'!$P$61</f>
        <v>1.4651162790697674</v>
      </c>
      <c r="G85" s="645">
        <f>H85-'[1]1'!$P$61</f>
        <v>20</v>
      </c>
      <c r="H85" s="687">
        <f t="shared" si="7"/>
        <v>63</v>
      </c>
      <c r="I85" s="688">
        <v>21</v>
      </c>
      <c r="J85" s="689">
        <f t="shared" si="8"/>
        <v>21</v>
      </c>
      <c r="K85" s="687">
        <f t="shared" si="9"/>
        <v>42</v>
      </c>
      <c r="L85" s="688">
        <v>25</v>
      </c>
      <c r="M85" s="688">
        <v>17</v>
      </c>
      <c r="N85" s="678"/>
    </row>
    <row r="86" spans="1:14" s="679" customFormat="1" ht="18.75">
      <c r="A86" s="685">
        <v>47</v>
      </c>
      <c r="B86" s="686" t="s">
        <v>399</v>
      </c>
      <c r="C86" s="645" t="s">
        <v>527</v>
      </c>
      <c r="D86" s="645" t="s">
        <v>527</v>
      </c>
      <c r="E86" s="645" t="s">
        <v>527</v>
      </c>
      <c r="F86" s="682">
        <f>H86/'[1]1'!$P$62</f>
        <v>1.3518518518518519</v>
      </c>
      <c r="G86" s="645">
        <f>H86-'[1]1'!$P$62</f>
        <v>28.5</v>
      </c>
      <c r="H86" s="687">
        <f t="shared" si="7"/>
        <v>109.5</v>
      </c>
      <c r="I86" s="688">
        <v>36.5</v>
      </c>
      <c r="J86" s="689">
        <f t="shared" si="8"/>
        <v>36.5</v>
      </c>
      <c r="K86" s="687">
        <f t="shared" si="9"/>
        <v>73</v>
      </c>
      <c r="L86" s="688">
        <v>32</v>
      </c>
      <c r="M86" s="688">
        <v>41</v>
      </c>
      <c r="N86" s="678"/>
    </row>
    <row r="87" spans="1:14" s="679" customFormat="1" ht="18.75">
      <c r="A87" s="685">
        <v>48</v>
      </c>
      <c r="B87" s="686" t="s">
        <v>400</v>
      </c>
      <c r="C87" s="645" t="s">
        <v>527</v>
      </c>
      <c r="D87" s="645" t="s">
        <v>527</v>
      </c>
      <c r="E87" s="645" t="s">
        <v>527</v>
      </c>
      <c r="F87" s="682">
        <f>H87/'[1]1'!$P$63</f>
        <v>0.5757575757575758</v>
      </c>
      <c r="G87" s="645">
        <f>H87-'[1]1'!$P$63</f>
        <v>-70</v>
      </c>
      <c r="H87" s="687">
        <f t="shared" si="7"/>
        <v>95</v>
      </c>
      <c r="I87" s="688">
        <v>24</v>
      </c>
      <c r="J87" s="689">
        <f t="shared" si="8"/>
        <v>35.5</v>
      </c>
      <c r="K87" s="687">
        <f t="shared" si="9"/>
        <v>71</v>
      </c>
      <c r="L87" s="688">
        <v>30</v>
      </c>
      <c r="M87" s="688">
        <v>41</v>
      </c>
      <c r="N87" s="678"/>
    </row>
    <row r="88" spans="1:14" s="679" customFormat="1" ht="18.75">
      <c r="A88" s="685">
        <v>49</v>
      </c>
      <c r="B88" s="686" t="s">
        <v>401</v>
      </c>
      <c r="C88" s="645" t="s">
        <v>527</v>
      </c>
      <c r="D88" s="645" t="s">
        <v>527</v>
      </c>
      <c r="E88" s="645" t="s">
        <v>527</v>
      </c>
      <c r="F88" s="682">
        <f>H88/'[1]1'!$P$64</f>
        <v>1.1041666666666667</v>
      </c>
      <c r="G88" s="645">
        <f>H88-'[1]1'!$P$64</f>
        <v>5</v>
      </c>
      <c r="H88" s="687">
        <f t="shared" si="7"/>
        <v>53</v>
      </c>
      <c r="I88" s="688">
        <v>16</v>
      </c>
      <c r="J88" s="689">
        <f t="shared" si="8"/>
        <v>18.5</v>
      </c>
      <c r="K88" s="687">
        <f t="shared" si="9"/>
        <v>37</v>
      </c>
      <c r="L88" s="688">
        <v>16</v>
      </c>
      <c r="M88" s="688">
        <v>21</v>
      </c>
      <c r="N88" s="678"/>
    </row>
    <row r="89" spans="1:14" s="679" customFormat="1" ht="18.75">
      <c r="A89" s="685">
        <v>50</v>
      </c>
      <c r="B89" s="686" t="s">
        <v>402</v>
      </c>
      <c r="C89" s="645" t="s">
        <v>527</v>
      </c>
      <c r="D89" s="645" t="s">
        <v>527</v>
      </c>
      <c r="E89" s="645" t="s">
        <v>527</v>
      </c>
      <c r="F89" s="682">
        <f>H89/'[1]1'!$P$65</f>
        <v>0.7333333333333333</v>
      </c>
      <c r="G89" s="645">
        <f>H89-'[1]1'!$P$65</f>
        <v>-12</v>
      </c>
      <c r="H89" s="687">
        <f t="shared" si="7"/>
        <v>33</v>
      </c>
      <c r="I89" s="688">
        <v>11</v>
      </c>
      <c r="J89" s="689">
        <f t="shared" si="8"/>
        <v>11</v>
      </c>
      <c r="K89" s="687">
        <f t="shared" si="9"/>
        <v>22</v>
      </c>
      <c r="L89" s="688">
        <v>7</v>
      </c>
      <c r="M89" s="688">
        <v>15</v>
      </c>
      <c r="N89" s="678"/>
    </row>
    <row r="90" spans="1:14" s="679" customFormat="1" ht="18.75">
      <c r="A90" s="685">
        <v>51</v>
      </c>
      <c r="B90" s="686" t="s">
        <v>403</v>
      </c>
      <c r="C90" s="645" t="s">
        <v>527</v>
      </c>
      <c r="D90" s="645" t="s">
        <v>527</v>
      </c>
      <c r="E90" s="645" t="s">
        <v>527</v>
      </c>
      <c r="F90" s="682">
        <f>H90/'[1]1'!$P$66</f>
        <v>1.3888888888888888</v>
      </c>
      <c r="G90" s="645">
        <f>H90-'[1]1'!$P$66</f>
        <v>14</v>
      </c>
      <c r="H90" s="687">
        <f t="shared" si="7"/>
        <v>50</v>
      </c>
      <c r="I90" s="688">
        <v>17</v>
      </c>
      <c r="J90" s="689">
        <f t="shared" si="8"/>
        <v>16.5</v>
      </c>
      <c r="K90" s="687">
        <f t="shared" si="9"/>
        <v>33</v>
      </c>
      <c r="L90" s="688">
        <v>16</v>
      </c>
      <c r="M90" s="688">
        <v>17</v>
      </c>
      <c r="N90" s="678"/>
    </row>
    <row r="91" spans="1:14" s="679" customFormat="1" ht="18.75">
      <c r="A91" s="685">
        <v>52</v>
      </c>
      <c r="B91" s="686" t="s">
        <v>404</v>
      </c>
      <c r="C91" s="645" t="s">
        <v>527</v>
      </c>
      <c r="D91" s="645" t="s">
        <v>527</v>
      </c>
      <c r="E91" s="645" t="s">
        <v>527</v>
      </c>
      <c r="F91" s="682">
        <f>H91/'[1]1'!$P$67</f>
        <v>0.6216216216216216</v>
      </c>
      <c r="G91" s="645">
        <f>H91-'[1]1'!$P$67</f>
        <v>-28</v>
      </c>
      <c r="H91" s="687">
        <f t="shared" si="7"/>
        <v>46</v>
      </c>
      <c r="I91" s="688">
        <v>15</v>
      </c>
      <c r="J91" s="689">
        <f t="shared" si="8"/>
        <v>15.5</v>
      </c>
      <c r="K91" s="687">
        <f t="shared" si="9"/>
        <v>31</v>
      </c>
      <c r="L91" s="688">
        <v>10</v>
      </c>
      <c r="M91" s="688">
        <v>21</v>
      </c>
      <c r="N91" s="678"/>
    </row>
    <row r="92" spans="1:14" s="679" customFormat="1" ht="18.75">
      <c r="A92" s="685">
        <v>53</v>
      </c>
      <c r="B92" s="686" t="s">
        <v>405</v>
      </c>
      <c r="C92" s="645" t="s">
        <v>527</v>
      </c>
      <c r="D92" s="645" t="s">
        <v>527</v>
      </c>
      <c r="E92" s="645" t="s">
        <v>527</v>
      </c>
      <c r="F92" s="682">
        <f>H92/'[1]1'!$P$68</f>
        <v>2.6666666666666665</v>
      </c>
      <c r="G92" s="645">
        <f>H92-'[1]1'!$P$68</f>
        <v>20</v>
      </c>
      <c r="H92" s="687">
        <f t="shared" si="7"/>
        <v>32</v>
      </c>
      <c r="I92" s="694">
        <v>11</v>
      </c>
      <c r="J92" s="689">
        <f t="shared" si="8"/>
        <v>10.5</v>
      </c>
      <c r="K92" s="687">
        <f t="shared" si="9"/>
        <v>21</v>
      </c>
      <c r="L92" s="688">
        <v>10</v>
      </c>
      <c r="M92" s="688">
        <v>11</v>
      </c>
      <c r="N92" s="678"/>
    </row>
    <row r="93" spans="1:14" s="679" customFormat="1" ht="18.75">
      <c r="A93" s="685">
        <v>54</v>
      </c>
      <c r="B93" s="686" t="s">
        <v>406</v>
      </c>
      <c r="C93" s="645" t="s">
        <v>527</v>
      </c>
      <c r="D93" s="645" t="s">
        <v>527</v>
      </c>
      <c r="E93" s="645" t="s">
        <v>527</v>
      </c>
      <c r="F93" s="682">
        <f>H93/'[1]1'!$P$69</f>
        <v>0.654320987654321</v>
      </c>
      <c r="G93" s="645">
        <f>H93-'[1]1'!$P$69</f>
        <v>-28</v>
      </c>
      <c r="H93" s="687">
        <f t="shared" si="7"/>
        <v>53</v>
      </c>
      <c r="I93" s="694">
        <v>18</v>
      </c>
      <c r="J93" s="689">
        <f t="shared" si="8"/>
        <v>17.5</v>
      </c>
      <c r="K93" s="687">
        <f t="shared" si="9"/>
        <v>35</v>
      </c>
      <c r="L93" s="688">
        <v>6</v>
      </c>
      <c r="M93" s="688">
        <v>29</v>
      </c>
      <c r="N93" s="678"/>
    </row>
    <row r="94" spans="1:14" s="679" customFormat="1" ht="18.75">
      <c r="A94" s="685">
        <v>55</v>
      </c>
      <c r="B94" s="686" t="s">
        <v>547</v>
      </c>
      <c r="C94" s="645" t="s">
        <v>527</v>
      </c>
      <c r="D94" s="645" t="s">
        <v>527</v>
      </c>
      <c r="E94" s="645" t="s">
        <v>527</v>
      </c>
      <c r="F94" s="682">
        <f>H94/'[1]1'!$P$70</f>
        <v>0.6257668711656442</v>
      </c>
      <c r="G94" s="645">
        <f>H94-'[1]1'!$P$70</f>
        <v>-61</v>
      </c>
      <c r="H94" s="687">
        <f t="shared" si="7"/>
        <v>102</v>
      </c>
      <c r="I94" s="688">
        <v>34</v>
      </c>
      <c r="J94" s="689">
        <f t="shared" si="8"/>
        <v>34</v>
      </c>
      <c r="K94" s="687">
        <f t="shared" si="9"/>
        <v>68</v>
      </c>
      <c r="L94" s="688">
        <v>56</v>
      </c>
      <c r="M94" s="688">
        <v>12</v>
      </c>
      <c r="N94" s="678"/>
    </row>
    <row r="95" spans="1:14" s="679" customFormat="1" ht="18.75">
      <c r="A95" s="685">
        <v>56</v>
      </c>
      <c r="B95" s="686" t="s">
        <v>408</v>
      </c>
      <c r="C95" s="645" t="s">
        <v>527</v>
      </c>
      <c r="D95" s="645" t="s">
        <v>527</v>
      </c>
      <c r="E95" s="645" t="s">
        <v>527</v>
      </c>
      <c r="F95" s="682">
        <f>H95/'[1]1'!$P$71</f>
        <v>1.2151898734177216</v>
      </c>
      <c r="G95" s="645">
        <f>H95-'[1]1'!$P$71</f>
        <v>17</v>
      </c>
      <c r="H95" s="687">
        <f t="shared" si="7"/>
        <v>96</v>
      </c>
      <c r="I95" s="688">
        <v>32</v>
      </c>
      <c r="J95" s="689">
        <f t="shared" si="8"/>
        <v>32</v>
      </c>
      <c r="K95" s="687">
        <f t="shared" si="9"/>
        <v>64</v>
      </c>
      <c r="L95" s="688">
        <v>41</v>
      </c>
      <c r="M95" s="688">
        <v>23</v>
      </c>
      <c r="N95" s="678"/>
    </row>
    <row r="96" spans="1:14" s="679" customFormat="1" ht="18.75">
      <c r="A96" s="685">
        <v>57</v>
      </c>
      <c r="B96" s="686" t="s">
        <v>409</v>
      </c>
      <c r="C96" s="645" t="s">
        <v>527</v>
      </c>
      <c r="D96" s="645" t="s">
        <v>527</v>
      </c>
      <c r="E96" s="645" t="s">
        <v>527</v>
      </c>
      <c r="F96" s="682">
        <f>H96/'[1]1'!$P$72</f>
        <v>1.4210526315789473</v>
      </c>
      <c r="G96" s="645">
        <f>H96-'[1]1'!$P$72</f>
        <v>16</v>
      </c>
      <c r="H96" s="687">
        <f t="shared" si="7"/>
        <v>54</v>
      </c>
      <c r="I96" s="688">
        <v>18</v>
      </c>
      <c r="J96" s="689">
        <f t="shared" si="8"/>
        <v>18</v>
      </c>
      <c r="K96" s="687">
        <f t="shared" si="9"/>
        <v>36</v>
      </c>
      <c r="L96" s="688">
        <v>3</v>
      </c>
      <c r="M96" s="688">
        <v>33</v>
      </c>
      <c r="N96" s="678"/>
    </row>
    <row r="97" spans="1:14" s="679" customFormat="1" ht="18.75">
      <c r="A97" s="685">
        <v>58</v>
      </c>
      <c r="B97" s="686" t="s">
        <v>548</v>
      </c>
      <c r="C97" s="645" t="s">
        <v>527</v>
      </c>
      <c r="D97" s="645" t="s">
        <v>527</v>
      </c>
      <c r="E97" s="645" t="s">
        <v>527</v>
      </c>
      <c r="F97" s="682">
        <f>H97/'[1]1'!$P$73</f>
        <v>1.09375</v>
      </c>
      <c r="G97" s="645">
        <f>H97-'[1]1'!$P$73</f>
        <v>9</v>
      </c>
      <c r="H97" s="687">
        <f t="shared" si="7"/>
        <v>105</v>
      </c>
      <c r="I97" s="688">
        <v>35</v>
      </c>
      <c r="J97" s="689">
        <f t="shared" si="8"/>
        <v>35</v>
      </c>
      <c r="K97" s="687">
        <f t="shared" si="9"/>
        <v>70</v>
      </c>
      <c r="L97" s="688">
        <v>33</v>
      </c>
      <c r="M97" s="688">
        <v>37</v>
      </c>
      <c r="N97" s="678"/>
    </row>
    <row r="98" spans="1:14" s="679" customFormat="1" ht="18.75">
      <c r="A98" s="685">
        <v>59</v>
      </c>
      <c r="B98" s="686" t="s">
        <v>411</v>
      </c>
      <c r="C98" s="645" t="s">
        <v>527</v>
      </c>
      <c r="D98" s="645" t="s">
        <v>527</v>
      </c>
      <c r="E98" s="645" t="s">
        <v>527</v>
      </c>
      <c r="F98" s="682">
        <f>H98/'[1]1'!$P$74</f>
        <v>2.8181818181818183</v>
      </c>
      <c r="G98" s="645">
        <f>H98-'[1]1'!$P$74</f>
        <v>40</v>
      </c>
      <c r="H98" s="687">
        <f t="shared" si="7"/>
        <v>62</v>
      </c>
      <c r="I98" s="688">
        <v>21</v>
      </c>
      <c r="J98" s="689">
        <f t="shared" si="8"/>
        <v>20.5</v>
      </c>
      <c r="K98" s="687">
        <f t="shared" si="9"/>
        <v>41</v>
      </c>
      <c r="L98" s="688"/>
      <c r="M98" s="688">
        <v>41</v>
      </c>
      <c r="N98" s="678"/>
    </row>
    <row r="99" spans="1:14" s="679" customFormat="1" ht="18.75">
      <c r="A99" s="685">
        <v>60</v>
      </c>
      <c r="B99" s="686" t="s">
        <v>412</v>
      </c>
      <c r="C99" s="645" t="s">
        <v>527</v>
      </c>
      <c r="D99" s="645" t="s">
        <v>527</v>
      </c>
      <c r="E99" s="645" t="s">
        <v>527</v>
      </c>
      <c r="F99" s="682">
        <f>H99/'[1]1'!$P$75</f>
        <v>1.4634146341463414</v>
      </c>
      <c r="G99" s="645">
        <f>H99-'[1]1'!$P$75</f>
        <v>19</v>
      </c>
      <c r="H99" s="687">
        <f t="shared" si="7"/>
        <v>60</v>
      </c>
      <c r="I99" s="688">
        <v>37</v>
      </c>
      <c r="J99" s="689">
        <f t="shared" si="8"/>
        <v>11.5</v>
      </c>
      <c r="K99" s="687">
        <f t="shared" si="9"/>
        <v>23</v>
      </c>
      <c r="L99" s="688">
        <v>8</v>
      </c>
      <c r="M99" s="688">
        <v>15</v>
      </c>
      <c r="N99" s="678"/>
    </row>
    <row r="100" spans="1:14" s="679" customFormat="1" ht="18.75">
      <c r="A100" s="685">
        <v>61</v>
      </c>
      <c r="B100" s="693" t="s">
        <v>413</v>
      </c>
      <c r="C100" s="645" t="s">
        <v>527</v>
      </c>
      <c r="D100" s="645" t="s">
        <v>527</v>
      </c>
      <c r="E100" s="645" t="s">
        <v>527</v>
      </c>
      <c r="F100" s="682">
        <f>H100/'[1]1'!$P$76</f>
        <v>1.1379310344827587</v>
      </c>
      <c r="G100" s="645">
        <f>H100-'[1]1'!$P$76</f>
        <v>4</v>
      </c>
      <c r="H100" s="687">
        <f t="shared" si="7"/>
        <v>33</v>
      </c>
      <c r="I100" s="688">
        <v>11</v>
      </c>
      <c r="J100" s="689">
        <f t="shared" si="8"/>
        <v>11</v>
      </c>
      <c r="K100" s="687">
        <f t="shared" si="9"/>
        <v>22</v>
      </c>
      <c r="L100" s="688">
        <v>15</v>
      </c>
      <c r="M100" s="688">
        <v>7</v>
      </c>
      <c r="N100" s="678"/>
    </row>
    <row r="101" spans="1:14" s="679" customFormat="1" ht="18.75">
      <c r="A101" s="685">
        <v>62</v>
      </c>
      <c r="B101" s="686" t="s">
        <v>414</v>
      </c>
      <c r="C101" s="645" t="s">
        <v>527</v>
      </c>
      <c r="D101" s="645" t="s">
        <v>527</v>
      </c>
      <c r="E101" s="645" t="s">
        <v>527</v>
      </c>
      <c r="F101" s="682">
        <f>H101/'[1]1'!$P$77</f>
        <v>0.5128205128205128</v>
      </c>
      <c r="G101" s="645">
        <f>H101-'[1]1'!$P$77</f>
        <v>-19</v>
      </c>
      <c r="H101" s="687">
        <f t="shared" si="7"/>
        <v>20</v>
      </c>
      <c r="I101" s="688">
        <v>6</v>
      </c>
      <c r="J101" s="689">
        <f t="shared" si="8"/>
        <v>7</v>
      </c>
      <c r="K101" s="687">
        <f t="shared" si="9"/>
        <v>14</v>
      </c>
      <c r="L101" s="688">
        <v>2</v>
      </c>
      <c r="M101" s="688">
        <v>12</v>
      </c>
      <c r="N101" s="678"/>
    </row>
    <row r="102" spans="1:14" s="679" customFormat="1" ht="18.75">
      <c r="A102" s="685">
        <v>63</v>
      </c>
      <c r="B102" s="693" t="s">
        <v>415</v>
      </c>
      <c r="C102" s="645" t="s">
        <v>527</v>
      </c>
      <c r="D102" s="645" t="s">
        <v>527</v>
      </c>
      <c r="E102" s="645" t="s">
        <v>527</v>
      </c>
      <c r="F102" s="682">
        <f>H102/'[1]1'!$P$78</f>
        <v>1.0740740740740742</v>
      </c>
      <c r="G102" s="645">
        <f>H102-'[1]1'!$P$78</f>
        <v>2</v>
      </c>
      <c r="H102" s="687">
        <f t="shared" si="7"/>
        <v>29</v>
      </c>
      <c r="I102" s="688">
        <v>20</v>
      </c>
      <c r="J102" s="689">
        <f t="shared" si="8"/>
        <v>4.5</v>
      </c>
      <c r="K102" s="687">
        <f t="shared" si="9"/>
        <v>9</v>
      </c>
      <c r="L102" s="688">
        <v>6</v>
      </c>
      <c r="M102" s="688">
        <v>3</v>
      </c>
      <c r="N102" s="678"/>
    </row>
    <row r="105" spans="1:12" s="89" customFormat="1" ht="18" customHeight="1">
      <c r="A105" s="50"/>
      <c r="B105" s="50" t="s">
        <v>342</v>
      </c>
      <c r="C105" s="56" t="s">
        <v>494</v>
      </c>
      <c r="D105" s="56"/>
      <c r="E105" s="56"/>
      <c r="F105" s="56"/>
      <c r="G105" s="50"/>
      <c r="H105" s="50"/>
      <c r="I105" s="50"/>
      <c r="J105" s="50"/>
      <c r="K105" s="88"/>
      <c r="L105" s="88"/>
    </row>
    <row r="106" spans="1:10" s="87" customFormat="1" ht="18" customHeight="1">
      <c r="A106" s="50"/>
      <c r="B106" s="50" t="s">
        <v>343</v>
      </c>
      <c r="C106" s="50" t="s">
        <v>344</v>
      </c>
      <c r="E106" s="50"/>
      <c r="F106" s="50"/>
      <c r="G106" s="50"/>
      <c r="H106" s="50"/>
      <c r="I106" s="50"/>
      <c r="J106" s="50"/>
    </row>
    <row r="107" spans="1:10" s="87" customFormat="1" ht="18" customHeight="1">
      <c r="A107" s="50"/>
      <c r="B107" s="50" t="s">
        <v>345</v>
      </c>
      <c r="C107" s="50" t="s">
        <v>346</v>
      </c>
      <c r="E107" s="50"/>
      <c r="F107" s="50"/>
      <c r="G107" s="50"/>
      <c r="H107" s="50"/>
      <c r="I107" s="50"/>
      <c r="J107" s="50"/>
    </row>
    <row r="108" spans="1:20" s="22" customFormat="1" ht="15.75">
      <c r="A108"/>
      <c r="B108" s="142"/>
      <c r="C108" s="120" t="s">
        <v>493</v>
      </c>
      <c r="D108" s="13"/>
      <c r="E108"/>
      <c r="F108"/>
      <c r="G108"/>
      <c r="H108"/>
      <c r="I108"/>
      <c r="J108"/>
      <c r="K108"/>
      <c r="L108"/>
      <c r="M108"/>
      <c r="N108"/>
      <c r="O108"/>
      <c r="P108"/>
      <c r="Q108"/>
      <c r="R108"/>
      <c r="S108"/>
      <c r="T108" s="13"/>
    </row>
    <row r="109" spans="1:20" s="22" customFormat="1" ht="15.75">
      <c r="A109"/>
      <c r="B109" s="90"/>
      <c r="C109" s="50" t="s">
        <v>430</v>
      </c>
      <c r="D109" s="13"/>
      <c r="E109"/>
      <c r="F109"/>
      <c r="G109"/>
      <c r="H109"/>
      <c r="I109"/>
      <c r="J109"/>
      <c r="K109"/>
      <c r="L109"/>
      <c r="M109"/>
      <c r="N109"/>
      <c r="O109"/>
      <c r="P109"/>
      <c r="Q109"/>
      <c r="R109"/>
      <c r="S109"/>
      <c r="T109" s="13"/>
    </row>
    <row r="110" spans="1:20" s="22" customFormat="1" ht="15.75">
      <c r="A110"/>
      <c r="B110" s="91"/>
      <c r="C110" s="50" t="s">
        <v>429</v>
      </c>
      <c r="D110" s="13"/>
      <c r="E110"/>
      <c r="F110"/>
      <c r="G110"/>
      <c r="H110"/>
      <c r="I110"/>
      <c r="J110"/>
      <c r="K110"/>
      <c r="L110"/>
      <c r="M110"/>
      <c r="N110"/>
      <c r="O110"/>
      <c r="P110"/>
      <c r="Q110"/>
      <c r="R110"/>
      <c r="S110"/>
      <c r="T110" s="13"/>
    </row>
    <row r="111" spans="1:20" s="38" customFormat="1" ht="15.75">
      <c r="A111"/>
      <c r="B111" s="143"/>
      <c r="C111" s="86" t="s">
        <v>495</v>
      </c>
      <c r="D111" s="13"/>
      <c r="E111"/>
      <c r="F111"/>
      <c r="G111"/>
      <c r="H111"/>
      <c r="I111"/>
      <c r="J111"/>
      <c r="K111"/>
      <c r="L111"/>
      <c r="M111"/>
      <c r="N111"/>
      <c r="O111"/>
      <c r="P111"/>
      <c r="Q111"/>
      <c r="R111"/>
      <c r="S111"/>
      <c r="T111" s="13"/>
    </row>
    <row r="113" ht="15.75">
      <c r="B113" s="50"/>
    </row>
    <row r="114" ht="12.75">
      <c r="B114" s="166" t="s">
        <v>563</v>
      </c>
    </row>
  </sheetData>
  <sheetProtection/>
  <mergeCells count="24">
    <mergeCell ref="A39:B39"/>
    <mergeCell ref="G7:G9"/>
    <mergeCell ref="H7:H9"/>
    <mergeCell ref="I7:I9"/>
    <mergeCell ref="A10:B10"/>
    <mergeCell ref="A11:B11"/>
    <mergeCell ref="A12:B12"/>
    <mergeCell ref="A33:B33"/>
    <mergeCell ref="J7:J9"/>
    <mergeCell ref="K7:M7"/>
    <mergeCell ref="D8:D9"/>
    <mergeCell ref="E8:E9"/>
    <mergeCell ref="K8:K9"/>
    <mergeCell ref="L8:M8"/>
    <mergeCell ref="A2:M2"/>
    <mergeCell ref="A3:M3"/>
    <mergeCell ref="A4:M4"/>
    <mergeCell ref="A6:B9"/>
    <mergeCell ref="C6:E6"/>
    <mergeCell ref="F6:G6"/>
    <mergeCell ref="H6:M6"/>
    <mergeCell ref="C7:C9"/>
    <mergeCell ref="D7:E7"/>
    <mergeCell ref="F7:F9"/>
  </mergeCells>
  <printOptions/>
  <pageMargins left="0.75" right="0.25" top="0.5" bottom="0.5" header="0" footer="0"/>
  <pageSetup horizontalDpi="600" verticalDpi="600" orientation="landscape" paperSize="9" scale="60" r:id="rId2"/>
  <drawing r:id="rId1"/>
</worksheet>
</file>

<file path=xl/worksheets/sheet20.xml><?xml version="1.0" encoding="utf-8"?>
<worksheet xmlns="http://schemas.openxmlformats.org/spreadsheetml/2006/main" xmlns:r="http://schemas.openxmlformats.org/officeDocument/2006/relationships">
  <sheetPr>
    <tabColor theme="2" tint="-0.7499799728393555"/>
  </sheetPr>
  <dimension ref="A1:V116"/>
  <sheetViews>
    <sheetView tabSelected="1" zoomScalePageLayoutView="0" workbookViewId="0" topLeftCell="L7">
      <selection activeCell="X15" sqref="X15"/>
    </sheetView>
  </sheetViews>
  <sheetFormatPr defaultColWidth="9.140625" defaultRowHeight="12.75"/>
  <cols>
    <col min="1" max="1" width="4.57421875" style="469" customWidth="1"/>
    <col min="2" max="2" width="17.7109375" style="469" customWidth="1"/>
    <col min="3" max="3" width="6.00390625" style="469" customWidth="1"/>
    <col min="4" max="4" width="7.57421875" style="469" customWidth="1"/>
    <col min="5" max="5" width="5.57421875" style="469" customWidth="1"/>
    <col min="6" max="6" width="7.8515625" style="469" customWidth="1"/>
    <col min="7" max="7" width="8.8515625" style="469" customWidth="1"/>
    <col min="8" max="9" width="8.57421875" style="469" customWidth="1"/>
    <col min="10" max="11" width="8.421875" style="469" customWidth="1"/>
    <col min="12" max="12" width="9.00390625" style="469" customWidth="1"/>
    <col min="13" max="13" width="8.140625" style="469" customWidth="1"/>
    <col min="14" max="14" width="15.57421875" style="516" customWidth="1"/>
    <col min="15" max="15" width="15.140625" style="516" customWidth="1"/>
    <col min="16" max="16" width="15.00390625" style="516" customWidth="1"/>
    <col min="17" max="17" width="15.140625" style="516" customWidth="1"/>
    <col min="18" max="18" width="13.140625" style="516" customWidth="1"/>
    <col min="19" max="19" width="17.421875" style="517" customWidth="1"/>
    <col min="20" max="20" width="16.28125" style="517" customWidth="1"/>
    <col min="21" max="21" width="17.00390625" style="517" customWidth="1"/>
    <col min="22" max="16384" width="9.140625" style="469" customWidth="1"/>
  </cols>
  <sheetData>
    <row r="1" spans="1:21" ht="18.75">
      <c r="A1" s="1248" t="s">
        <v>318</v>
      </c>
      <c r="B1" s="1248"/>
      <c r="E1" s="470"/>
      <c r="F1" s="470"/>
      <c r="G1" s="470"/>
      <c r="H1" s="470"/>
      <c r="I1" s="470"/>
      <c r="J1" s="470"/>
      <c r="K1" s="470"/>
      <c r="L1" s="470"/>
      <c r="M1" s="470"/>
      <c r="N1" s="471"/>
      <c r="O1" s="471"/>
      <c r="P1" s="471"/>
      <c r="Q1" s="471"/>
      <c r="R1" s="471"/>
      <c r="S1" s="472"/>
      <c r="T1" s="472"/>
      <c r="U1" s="472"/>
    </row>
    <row r="2" spans="1:21" ht="18.75">
      <c r="A2" s="1179" t="s">
        <v>177</v>
      </c>
      <c r="B2" s="1179"/>
      <c r="C2" s="1179"/>
      <c r="D2" s="1179"/>
      <c r="E2" s="1179"/>
      <c r="F2" s="1179"/>
      <c r="G2" s="1179"/>
      <c r="H2" s="1179"/>
      <c r="I2" s="1179"/>
      <c r="J2" s="1179"/>
      <c r="K2" s="1179"/>
      <c r="L2" s="1179"/>
      <c r="M2" s="1179"/>
      <c r="N2" s="1179"/>
      <c r="O2" s="1179"/>
      <c r="P2" s="1179"/>
      <c r="Q2" s="1179"/>
      <c r="R2" s="1179"/>
      <c r="S2" s="1179"/>
      <c r="T2" s="1179"/>
      <c r="U2" s="1179"/>
    </row>
    <row r="3" spans="1:21" ht="27" customHeight="1">
      <c r="A3" s="1249" t="s">
        <v>178</v>
      </c>
      <c r="B3" s="1249"/>
      <c r="C3" s="1249"/>
      <c r="D3" s="1249"/>
      <c r="E3" s="1249"/>
      <c r="F3" s="1249"/>
      <c r="G3" s="1249"/>
      <c r="H3" s="1249"/>
      <c r="I3" s="1249"/>
      <c r="J3" s="1249"/>
      <c r="K3" s="1249"/>
      <c r="L3" s="1249"/>
      <c r="M3" s="1249"/>
      <c r="N3" s="1249"/>
      <c r="O3" s="1249"/>
      <c r="P3" s="1249"/>
      <c r="Q3" s="1249"/>
      <c r="R3" s="1249"/>
      <c r="S3" s="1249"/>
      <c r="T3" s="1249"/>
      <c r="U3" s="1249"/>
    </row>
    <row r="4" spans="1:21" ht="18.75">
      <c r="A4" s="1180" t="s">
        <v>319</v>
      </c>
      <c r="B4" s="1181"/>
      <c r="C4" s="1181"/>
      <c r="D4" s="1181"/>
      <c r="E4" s="1181"/>
      <c r="F4" s="1181"/>
      <c r="G4" s="1181"/>
      <c r="H4" s="1181"/>
      <c r="I4" s="1181"/>
      <c r="J4" s="1181"/>
      <c r="K4" s="1181"/>
      <c r="L4" s="1181"/>
      <c r="M4" s="1181"/>
      <c r="N4" s="1181"/>
      <c r="O4" s="1181"/>
      <c r="P4" s="1181"/>
      <c r="Q4" s="1181"/>
      <c r="R4" s="1181"/>
      <c r="S4" s="1181"/>
      <c r="T4" s="1181"/>
      <c r="U4" s="1181"/>
    </row>
    <row r="5" spans="1:21" ht="12.75" customHeight="1">
      <c r="A5" s="473"/>
      <c r="B5" s="474"/>
      <c r="E5" s="475"/>
      <c r="F5" s="475"/>
      <c r="G5" s="475"/>
      <c r="H5" s="475"/>
      <c r="I5" s="475"/>
      <c r="J5" s="475"/>
      <c r="K5" s="475"/>
      <c r="L5" s="475"/>
      <c r="M5" s="475"/>
      <c r="N5" s="476"/>
      <c r="O5" s="476"/>
      <c r="P5" s="476"/>
      <c r="Q5" s="476"/>
      <c r="R5" s="476"/>
      <c r="S5" s="477"/>
      <c r="T5" s="477"/>
      <c r="U5" s="477"/>
    </row>
    <row r="6" spans="1:21" s="478" customFormat="1" ht="83.25" customHeight="1">
      <c r="A6" s="1250"/>
      <c r="B6" s="1251"/>
      <c r="C6" s="1256" t="s">
        <v>203</v>
      </c>
      <c r="D6" s="1257"/>
      <c r="E6" s="1258"/>
      <c r="F6" s="1259" t="s">
        <v>204</v>
      </c>
      <c r="G6" s="1261" t="s">
        <v>205</v>
      </c>
      <c r="H6" s="1229" t="s">
        <v>206</v>
      </c>
      <c r="I6" s="1229"/>
      <c r="J6" s="1229"/>
      <c r="K6" s="1229"/>
      <c r="L6" s="1229"/>
      <c r="M6" s="1229"/>
      <c r="N6" s="1223" t="s">
        <v>207</v>
      </c>
      <c r="O6" s="1224"/>
      <c r="P6" s="1225"/>
      <c r="Q6" s="1217" t="s">
        <v>208</v>
      </c>
      <c r="R6" s="1232" t="s">
        <v>179</v>
      </c>
      <c r="S6" s="1223" t="s">
        <v>180</v>
      </c>
      <c r="T6" s="1224"/>
      <c r="U6" s="1225"/>
    </row>
    <row r="7" spans="1:21" s="478" customFormat="1" ht="29.25" customHeight="1">
      <c r="A7" s="1252"/>
      <c r="B7" s="1253"/>
      <c r="C7" s="1239" t="s">
        <v>322</v>
      </c>
      <c r="D7" s="1242" t="s">
        <v>181</v>
      </c>
      <c r="E7" s="1243"/>
      <c r="F7" s="1259"/>
      <c r="G7" s="1262"/>
      <c r="H7" s="1244" t="s">
        <v>182</v>
      </c>
      <c r="I7" s="1245"/>
      <c r="J7" s="1246"/>
      <c r="K7" s="1244" t="s">
        <v>183</v>
      </c>
      <c r="L7" s="1245"/>
      <c r="M7" s="1246"/>
      <c r="N7" s="1226"/>
      <c r="O7" s="1227"/>
      <c r="P7" s="1228"/>
      <c r="Q7" s="1218"/>
      <c r="R7" s="1233"/>
      <c r="S7" s="1226"/>
      <c r="T7" s="1227"/>
      <c r="U7" s="1228"/>
    </row>
    <row r="8" spans="1:21" s="478" customFormat="1" ht="28.5" customHeight="1">
      <c r="A8" s="1252"/>
      <c r="B8" s="1253"/>
      <c r="C8" s="1240"/>
      <c r="D8" s="1247" t="s">
        <v>184</v>
      </c>
      <c r="E8" s="1247" t="s">
        <v>185</v>
      </c>
      <c r="F8" s="1259"/>
      <c r="G8" s="1262"/>
      <c r="H8" s="1221" t="s">
        <v>511</v>
      </c>
      <c r="I8" s="1237" t="s">
        <v>321</v>
      </c>
      <c r="J8" s="1238"/>
      <c r="K8" s="1221" t="s">
        <v>511</v>
      </c>
      <c r="L8" s="1237" t="s">
        <v>321</v>
      </c>
      <c r="M8" s="1238"/>
      <c r="N8" s="1221" t="s">
        <v>511</v>
      </c>
      <c r="O8" s="1237" t="s">
        <v>321</v>
      </c>
      <c r="P8" s="1238"/>
      <c r="Q8" s="1218"/>
      <c r="R8" s="1233"/>
      <c r="S8" s="1215" t="s">
        <v>511</v>
      </c>
      <c r="T8" s="1230" t="s">
        <v>321</v>
      </c>
      <c r="U8" s="1231"/>
    </row>
    <row r="9" spans="1:21" s="478" customFormat="1" ht="114" customHeight="1">
      <c r="A9" s="1254"/>
      <c r="B9" s="1255"/>
      <c r="C9" s="1241"/>
      <c r="D9" s="1222"/>
      <c r="E9" s="1222"/>
      <c r="F9" s="1260"/>
      <c r="G9" s="1263"/>
      <c r="H9" s="1222"/>
      <c r="I9" s="480" t="s">
        <v>512</v>
      </c>
      <c r="J9" s="479" t="s">
        <v>320</v>
      </c>
      <c r="K9" s="1222"/>
      <c r="L9" s="480" t="s">
        <v>512</v>
      </c>
      <c r="M9" s="479" t="s">
        <v>320</v>
      </c>
      <c r="N9" s="1222"/>
      <c r="O9" s="480" t="s">
        <v>512</v>
      </c>
      <c r="P9" s="479" t="s">
        <v>320</v>
      </c>
      <c r="Q9" s="1219"/>
      <c r="R9" s="1234"/>
      <c r="S9" s="1216"/>
      <c r="T9" s="481" t="s">
        <v>512</v>
      </c>
      <c r="U9" s="481" t="s">
        <v>320</v>
      </c>
    </row>
    <row r="10" spans="1:21" s="483" customFormat="1" ht="19.5" customHeight="1">
      <c r="A10" s="1220" t="s">
        <v>323</v>
      </c>
      <c r="B10" s="1220"/>
      <c r="C10" s="482">
        <v>1</v>
      </c>
      <c r="D10" s="482">
        <v>2</v>
      </c>
      <c r="E10" s="482">
        <v>3</v>
      </c>
      <c r="F10" s="482">
        <v>4</v>
      </c>
      <c r="G10" s="482">
        <v>5</v>
      </c>
      <c r="H10" s="482">
        <v>6</v>
      </c>
      <c r="I10" s="482">
        <v>7</v>
      </c>
      <c r="J10" s="482">
        <v>8</v>
      </c>
      <c r="K10" s="482">
        <v>9</v>
      </c>
      <c r="L10" s="482">
        <v>10</v>
      </c>
      <c r="M10" s="482">
        <v>11</v>
      </c>
      <c r="N10" s="482">
        <v>12</v>
      </c>
      <c r="O10" s="482">
        <v>13</v>
      </c>
      <c r="P10" s="482">
        <v>14</v>
      </c>
      <c r="Q10" s="482">
        <v>15</v>
      </c>
      <c r="R10" s="482">
        <v>16</v>
      </c>
      <c r="S10" s="482">
        <v>17</v>
      </c>
      <c r="T10" s="482">
        <v>18</v>
      </c>
      <c r="U10" s="482">
        <v>19</v>
      </c>
    </row>
    <row r="11" spans="1:22" s="485" customFormat="1" ht="39.75" customHeight="1">
      <c r="A11" s="1235" t="s">
        <v>324</v>
      </c>
      <c r="B11" s="1236"/>
      <c r="C11" s="484">
        <f aca="true" t="shared" si="0" ref="C11:U11">SUM(C12:C74)</f>
        <v>432</v>
      </c>
      <c r="D11" s="718">
        <f t="shared" si="0"/>
        <v>322</v>
      </c>
      <c r="E11" s="484">
        <f t="shared" si="0"/>
        <v>110</v>
      </c>
      <c r="F11" s="718">
        <f t="shared" si="0"/>
        <v>666</v>
      </c>
      <c r="G11" s="484">
        <f t="shared" si="0"/>
        <v>8427</v>
      </c>
      <c r="H11" s="484">
        <f t="shared" si="0"/>
        <v>8989.5</v>
      </c>
      <c r="I11" s="484">
        <f t="shared" si="0"/>
        <v>2808.5</v>
      </c>
      <c r="J11" s="484">
        <f t="shared" si="0"/>
        <v>6181</v>
      </c>
      <c r="K11" s="484">
        <f t="shared" si="0"/>
        <v>7278</v>
      </c>
      <c r="L11" s="484">
        <f t="shared" si="0"/>
        <v>2271</v>
      </c>
      <c r="M11" s="484">
        <f t="shared" si="0"/>
        <v>5007</v>
      </c>
      <c r="N11" s="718">
        <f t="shared" si="0"/>
        <v>441823717.5</v>
      </c>
      <c r="O11" s="718">
        <f t="shared" si="0"/>
        <v>148331824.5</v>
      </c>
      <c r="P11" s="718">
        <f t="shared" si="0"/>
        <v>293491893</v>
      </c>
      <c r="Q11" s="718">
        <f t="shared" si="0"/>
        <v>1303185785.603</v>
      </c>
      <c r="R11" s="718">
        <f t="shared" si="0"/>
        <v>181712989</v>
      </c>
      <c r="S11" s="718">
        <f t="shared" si="0"/>
        <v>12850709541.74</v>
      </c>
      <c r="T11" s="718">
        <f t="shared" si="0"/>
        <v>4301183531.73</v>
      </c>
      <c r="U11" s="718">
        <f t="shared" si="0"/>
        <v>8549526010.01</v>
      </c>
      <c r="V11" s="457" t="s">
        <v>157</v>
      </c>
    </row>
    <row r="12" spans="1:21" s="492" customFormat="1" ht="27" customHeight="1">
      <c r="A12" s="59">
        <v>1</v>
      </c>
      <c r="B12" s="486" t="s">
        <v>449</v>
      </c>
      <c r="C12" s="487">
        <f aca="true" t="shared" si="1" ref="C12:C19">D12+E12</f>
        <v>4</v>
      </c>
      <c r="D12" s="488">
        <v>4</v>
      </c>
      <c r="E12" s="489">
        <v>0</v>
      </c>
      <c r="F12" s="488">
        <v>6</v>
      </c>
      <c r="G12" s="490">
        <v>235</v>
      </c>
      <c r="H12" s="491">
        <f aca="true" t="shared" si="2" ref="H12:H43">I12+J12</f>
        <v>198</v>
      </c>
      <c r="I12" s="488">
        <v>45</v>
      </c>
      <c r="J12" s="488">
        <v>153</v>
      </c>
      <c r="K12" s="491">
        <f aca="true" t="shared" si="3" ref="K12:K43">L12+M12</f>
        <v>93</v>
      </c>
      <c r="L12" s="488">
        <v>24</v>
      </c>
      <c r="M12" s="488">
        <v>69</v>
      </c>
      <c r="N12" s="491">
        <f aca="true" t="shared" si="4" ref="N12:N43">O12+P12</f>
        <v>141390</v>
      </c>
      <c r="O12" s="491">
        <f>(P12/4)*2</f>
        <v>47130</v>
      </c>
      <c r="P12" s="488">
        <v>94260</v>
      </c>
      <c r="Q12" s="488">
        <v>787832.375</v>
      </c>
      <c r="R12" s="488">
        <v>0</v>
      </c>
      <c r="S12" s="491">
        <f aca="true" t="shared" si="5" ref="S12:S43">T12+U12</f>
        <v>118350.73500000002</v>
      </c>
      <c r="T12" s="491">
        <f>(U12/4)*2</f>
        <v>39450.245</v>
      </c>
      <c r="U12" s="488">
        <v>78900.49</v>
      </c>
    </row>
    <row r="13" spans="1:21" s="492" customFormat="1" ht="19.5" customHeight="1">
      <c r="A13" s="59">
        <v>2</v>
      </c>
      <c r="B13" s="486" t="s">
        <v>450</v>
      </c>
      <c r="C13" s="487">
        <f t="shared" si="1"/>
        <v>7</v>
      </c>
      <c r="D13" s="488">
        <v>6</v>
      </c>
      <c r="E13" s="489">
        <v>1</v>
      </c>
      <c r="F13" s="488">
        <v>9</v>
      </c>
      <c r="G13" s="490">
        <v>160</v>
      </c>
      <c r="H13" s="491">
        <f t="shared" si="2"/>
        <v>115.5</v>
      </c>
      <c r="I13" s="491">
        <f>(J13/4)*2</f>
        <v>38.5</v>
      </c>
      <c r="J13" s="488">
        <v>77</v>
      </c>
      <c r="K13" s="491">
        <f t="shared" si="3"/>
        <v>115.5</v>
      </c>
      <c r="L13" s="491">
        <f>(M13/4)*2</f>
        <v>38.5</v>
      </c>
      <c r="M13" s="488">
        <v>77</v>
      </c>
      <c r="N13" s="491">
        <f t="shared" si="4"/>
        <v>245533.5</v>
      </c>
      <c r="O13" s="491">
        <f>(P13/4)*2</f>
        <v>81844.5</v>
      </c>
      <c r="P13" s="488">
        <v>163689</v>
      </c>
      <c r="Q13" s="488">
        <v>389748</v>
      </c>
      <c r="R13" s="488">
        <v>12237</v>
      </c>
      <c r="S13" s="491">
        <f t="shared" si="5"/>
        <v>151694</v>
      </c>
      <c r="T13" s="488">
        <v>8097</v>
      </c>
      <c r="U13" s="488">
        <v>143597</v>
      </c>
    </row>
    <row r="14" spans="1:21" s="492" customFormat="1" ht="19.5" customHeight="1">
      <c r="A14" s="59">
        <v>3</v>
      </c>
      <c r="B14" s="486" t="s">
        <v>451</v>
      </c>
      <c r="C14" s="487">
        <f t="shared" si="1"/>
        <v>5</v>
      </c>
      <c r="D14" s="488">
        <v>5</v>
      </c>
      <c r="E14" s="489">
        <v>0</v>
      </c>
      <c r="F14" s="488">
        <v>10</v>
      </c>
      <c r="G14" s="490">
        <v>62</v>
      </c>
      <c r="H14" s="491">
        <f t="shared" si="2"/>
        <v>69</v>
      </c>
      <c r="I14" s="491">
        <f>(J14/4)*2</f>
        <v>23</v>
      </c>
      <c r="J14" s="488">
        <v>46</v>
      </c>
      <c r="K14" s="491">
        <f t="shared" si="3"/>
        <v>52</v>
      </c>
      <c r="L14" s="491">
        <v>17</v>
      </c>
      <c r="M14" s="488">
        <v>35</v>
      </c>
      <c r="N14" s="491">
        <f t="shared" si="4"/>
        <v>281145</v>
      </c>
      <c r="O14" s="491">
        <f>(P14/4)*2</f>
        <v>93715</v>
      </c>
      <c r="P14" s="488">
        <v>187430</v>
      </c>
      <c r="Q14" s="488">
        <v>88408</v>
      </c>
      <c r="R14" s="488">
        <v>0</v>
      </c>
      <c r="S14" s="491">
        <f t="shared" si="5"/>
        <v>53208</v>
      </c>
      <c r="T14" s="491">
        <f>(U14/4)*2</f>
        <v>17736</v>
      </c>
      <c r="U14" s="488">
        <v>35472</v>
      </c>
    </row>
    <row r="15" spans="1:21" s="492" customFormat="1" ht="19.5" customHeight="1">
      <c r="A15" s="59">
        <v>4</v>
      </c>
      <c r="B15" s="486" t="s">
        <v>452</v>
      </c>
      <c r="C15" s="487">
        <f t="shared" si="1"/>
        <v>1</v>
      </c>
      <c r="D15" s="488">
        <v>1</v>
      </c>
      <c r="E15" s="489">
        <v>0</v>
      </c>
      <c r="F15" s="488">
        <v>3</v>
      </c>
      <c r="G15" s="490">
        <v>47</v>
      </c>
      <c r="H15" s="491">
        <f t="shared" si="2"/>
        <v>61</v>
      </c>
      <c r="I15" s="491">
        <v>20</v>
      </c>
      <c r="J15" s="488">
        <v>41</v>
      </c>
      <c r="K15" s="491">
        <f t="shared" si="3"/>
        <v>61</v>
      </c>
      <c r="L15" s="491">
        <v>20</v>
      </c>
      <c r="M15" s="488">
        <v>41</v>
      </c>
      <c r="N15" s="491">
        <f t="shared" si="4"/>
        <v>12375</v>
      </c>
      <c r="O15" s="491">
        <f>(P15/4)*2</f>
        <v>4125</v>
      </c>
      <c r="P15" s="488">
        <v>8250</v>
      </c>
      <c r="Q15" s="488">
        <v>14595</v>
      </c>
      <c r="R15" s="488">
        <v>0</v>
      </c>
      <c r="S15" s="491">
        <f t="shared" si="5"/>
        <v>6853</v>
      </c>
      <c r="T15" s="491">
        <v>2284</v>
      </c>
      <c r="U15" s="488">
        <v>4569</v>
      </c>
    </row>
    <row r="16" spans="1:21" s="492" customFormat="1" ht="19.5" customHeight="1">
      <c r="A16" s="59">
        <v>5</v>
      </c>
      <c r="B16" s="486" t="s">
        <v>453</v>
      </c>
      <c r="C16" s="487">
        <f t="shared" si="1"/>
        <v>1</v>
      </c>
      <c r="D16" s="488">
        <v>1</v>
      </c>
      <c r="E16" s="489">
        <v>0</v>
      </c>
      <c r="F16" s="488">
        <v>3</v>
      </c>
      <c r="G16" s="490">
        <v>91</v>
      </c>
      <c r="H16" s="491">
        <f t="shared" si="2"/>
        <v>39</v>
      </c>
      <c r="I16" s="491">
        <f>(J16/4)*2</f>
        <v>13</v>
      </c>
      <c r="J16" s="488">
        <v>26</v>
      </c>
      <c r="K16" s="491">
        <f t="shared" si="3"/>
        <v>39</v>
      </c>
      <c r="L16" s="491">
        <f>(M16/4)*2</f>
        <v>13</v>
      </c>
      <c r="M16" s="488">
        <v>26</v>
      </c>
      <c r="N16" s="491">
        <f t="shared" si="4"/>
        <v>6675</v>
      </c>
      <c r="O16" s="491">
        <f>(P16/4)*2</f>
        <v>2225</v>
      </c>
      <c r="P16" s="488">
        <v>4450</v>
      </c>
      <c r="Q16" s="488">
        <v>45604</v>
      </c>
      <c r="R16" s="488">
        <v>402</v>
      </c>
      <c r="S16" s="491">
        <f t="shared" si="5"/>
        <v>12165</v>
      </c>
      <c r="T16" s="491">
        <f>(U16/4)*2</f>
        <v>4055</v>
      </c>
      <c r="U16" s="488">
        <v>8110</v>
      </c>
    </row>
    <row r="17" spans="1:21" s="492" customFormat="1" ht="19.5" customHeight="1">
      <c r="A17" s="59">
        <v>6</v>
      </c>
      <c r="B17" s="486" t="s">
        <v>454</v>
      </c>
      <c r="C17" s="487">
        <f t="shared" si="1"/>
        <v>4</v>
      </c>
      <c r="D17" s="488">
        <v>4</v>
      </c>
      <c r="E17" s="489">
        <v>0</v>
      </c>
      <c r="F17" s="488">
        <v>11</v>
      </c>
      <c r="G17" s="490">
        <v>110</v>
      </c>
      <c r="H17" s="491">
        <f t="shared" si="2"/>
        <v>91</v>
      </c>
      <c r="I17" s="488">
        <v>23</v>
      </c>
      <c r="J17" s="488">
        <v>68</v>
      </c>
      <c r="K17" s="491">
        <f t="shared" si="3"/>
        <v>91</v>
      </c>
      <c r="L17" s="488">
        <v>23</v>
      </c>
      <c r="M17" s="488">
        <v>68</v>
      </c>
      <c r="N17" s="491">
        <f t="shared" si="4"/>
        <v>85667</v>
      </c>
      <c r="O17" s="488">
        <v>21417</v>
      </c>
      <c r="P17" s="488">
        <v>64250</v>
      </c>
      <c r="Q17" s="488">
        <v>486611.731</v>
      </c>
      <c r="R17" s="488">
        <v>0</v>
      </c>
      <c r="S17" s="491">
        <f t="shared" si="5"/>
        <v>16680</v>
      </c>
      <c r="T17" s="488">
        <v>4170</v>
      </c>
      <c r="U17" s="488">
        <v>12510</v>
      </c>
    </row>
    <row r="18" spans="1:21" s="492" customFormat="1" ht="19.5" customHeight="1">
      <c r="A18" s="59">
        <v>7</v>
      </c>
      <c r="B18" s="486" t="s">
        <v>455</v>
      </c>
      <c r="C18" s="487">
        <f t="shared" si="1"/>
        <v>3</v>
      </c>
      <c r="D18" s="488">
        <v>3</v>
      </c>
      <c r="E18" s="489">
        <v>0</v>
      </c>
      <c r="F18" s="488">
        <v>10</v>
      </c>
      <c r="G18" s="490">
        <v>164</v>
      </c>
      <c r="H18" s="491">
        <f t="shared" si="2"/>
        <v>103</v>
      </c>
      <c r="I18" s="491">
        <v>34</v>
      </c>
      <c r="J18" s="488">
        <v>69</v>
      </c>
      <c r="K18" s="491">
        <f t="shared" si="3"/>
        <v>103</v>
      </c>
      <c r="L18" s="491">
        <v>34</v>
      </c>
      <c r="M18" s="488">
        <v>69</v>
      </c>
      <c r="N18" s="491">
        <f t="shared" si="4"/>
        <v>192300</v>
      </c>
      <c r="O18" s="491">
        <f>(P18/4)*2</f>
        <v>64100</v>
      </c>
      <c r="P18" s="488">
        <v>128200</v>
      </c>
      <c r="Q18" s="488">
        <v>182570</v>
      </c>
      <c r="R18" s="488">
        <v>52000</v>
      </c>
      <c r="S18" s="491">
        <f t="shared" si="5"/>
        <v>44952</v>
      </c>
      <c r="T18" s="491">
        <f>(U18/4)*2</f>
        <v>14984</v>
      </c>
      <c r="U18" s="488">
        <v>29968</v>
      </c>
    </row>
    <row r="19" spans="1:21" s="492" customFormat="1" ht="19.5" customHeight="1">
      <c r="A19" s="59">
        <v>8</v>
      </c>
      <c r="B19" s="486" t="s">
        <v>456</v>
      </c>
      <c r="C19" s="487">
        <f t="shared" si="1"/>
        <v>6</v>
      </c>
      <c r="D19" s="488">
        <v>6</v>
      </c>
      <c r="E19" s="489">
        <v>0</v>
      </c>
      <c r="F19" s="488">
        <v>15</v>
      </c>
      <c r="G19" s="490">
        <v>93</v>
      </c>
      <c r="H19" s="491">
        <f t="shared" si="2"/>
        <v>417</v>
      </c>
      <c r="I19" s="491">
        <f>(J19/4)*2</f>
        <v>139</v>
      </c>
      <c r="J19" s="488">
        <v>278</v>
      </c>
      <c r="K19" s="491">
        <f t="shared" si="3"/>
        <v>417</v>
      </c>
      <c r="L19" s="491">
        <f>(M19/4)*2</f>
        <v>139</v>
      </c>
      <c r="M19" s="488">
        <v>278</v>
      </c>
      <c r="N19" s="491">
        <f t="shared" si="4"/>
        <v>281761.5</v>
      </c>
      <c r="O19" s="491">
        <f>(P19/4)*2</f>
        <v>93920.5</v>
      </c>
      <c r="P19" s="488">
        <v>187841</v>
      </c>
      <c r="Q19" s="488">
        <v>396820</v>
      </c>
      <c r="R19" s="488">
        <v>0</v>
      </c>
      <c r="S19" s="491">
        <f t="shared" si="5"/>
        <v>152113.5</v>
      </c>
      <c r="T19" s="491">
        <f>(U19/4)*2</f>
        <v>50704.5</v>
      </c>
      <c r="U19" s="488">
        <v>101409</v>
      </c>
    </row>
    <row r="20" spans="1:21" s="492" customFormat="1" ht="19.5" customHeight="1">
      <c r="A20" s="59">
        <v>9</v>
      </c>
      <c r="B20" s="486" t="s">
        <v>457</v>
      </c>
      <c r="C20" s="487">
        <v>11</v>
      </c>
      <c r="D20" s="493">
        <v>11</v>
      </c>
      <c r="E20" s="494">
        <v>0</v>
      </c>
      <c r="F20" s="488">
        <v>9</v>
      </c>
      <c r="G20" s="490">
        <v>241</v>
      </c>
      <c r="H20" s="491">
        <f t="shared" si="2"/>
        <v>166</v>
      </c>
      <c r="I20" s="491">
        <v>55</v>
      </c>
      <c r="J20" s="488">
        <v>111</v>
      </c>
      <c r="K20" s="491">
        <f t="shared" si="3"/>
        <v>163</v>
      </c>
      <c r="L20" s="491">
        <v>54</v>
      </c>
      <c r="M20" s="488">
        <v>109</v>
      </c>
      <c r="N20" s="491">
        <f t="shared" si="4"/>
        <v>42000</v>
      </c>
      <c r="O20" s="491">
        <f>(P20/4)*2</f>
        <v>14000</v>
      </c>
      <c r="P20" s="488">
        <v>28000</v>
      </c>
      <c r="Q20" s="488">
        <v>711552</v>
      </c>
      <c r="R20" s="488">
        <v>34709</v>
      </c>
      <c r="S20" s="491">
        <f t="shared" si="5"/>
        <v>204127</v>
      </c>
      <c r="T20" s="491">
        <v>68042</v>
      </c>
      <c r="U20" s="488">
        <v>136085</v>
      </c>
    </row>
    <row r="21" spans="1:22" s="492" customFormat="1" ht="19.5" customHeight="1">
      <c r="A21" s="59">
        <v>10</v>
      </c>
      <c r="B21" s="486" t="s">
        <v>362</v>
      </c>
      <c r="C21" s="487">
        <f>D21+E21</f>
        <v>1</v>
      </c>
      <c r="D21" s="488">
        <v>1</v>
      </c>
      <c r="E21" s="489">
        <v>0</v>
      </c>
      <c r="F21" s="488">
        <v>2</v>
      </c>
      <c r="G21" s="490">
        <v>30</v>
      </c>
      <c r="H21" s="491">
        <f t="shared" si="2"/>
        <v>82</v>
      </c>
      <c r="I21" s="495">
        <v>55</v>
      </c>
      <c r="J21" s="488">
        <v>27</v>
      </c>
      <c r="K21" s="491">
        <f t="shared" si="3"/>
        <v>81</v>
      </c>
      <c r="L21" s="495">
        <v>54</v>
      </c>
      <c r="M21" s="488">
        <v>27</v>
      </c>
      <c r="N21" s="496">
        <f t="shared" si="4"/>
        <v>36000000</v>
      </c>
      <c r="O21" s="495">
        <f>(P21/4)*2</f>
        <v>12000000</v>
      </c>
      <c r="P21" s="496">
        <v>24000000</v>
      </c>
      <c r="Q21" s="497">
        <v>353000000</v>
      </c>
      <c r="R21" s="498">
        <v>177284000</v>
      </c>
      <c r="S21" s="491">
        <f t="shared" si="5"/>
        <v>88950000</v>
      </c>
      <c r="T21" s="495">
        <f>U21/4*2</f>
        <v>29650000</v>
      </c>
      <c r="U21" s="499">
        <v>59300000</v>
      </c>
      <c r="V21" s="483" t="s">
        <v>186</v>
      </c>
    </row>
    <row r="22" spans="1:22" s="492" customFormat="1" ht="19.5" customHeight="1">
      <c r="A22" s="59">
        <v>11</v>
      </c>
      <c r="B22" s="486" t="s">
        <v>363</v>
      </c>
      <c r="C22" s="487">
        <f>D22+E22</f>
        <v>2</v>
      </c>
      <c r="D22" s="488">
        <v>2</v>
      </c>
      <c r="E22" s="489">
        <v>0</v>
      </c>
      <c r="F22" s="488">
        <v>4</v>
      </c>
      <c r="G22" s="490">
        <v>195</v>
      </c>
      <c r="H22" s="491">
        <f t="shared" si="2"/>
        <v>273</v>
      </c>
      <c r="I22" s="491">
        <f>(J22/4)*2</f>
        <v>91</v>
      </c>
      <c r="J22" s="488">
        <v>182</v>
      </c>
      <c r="K22" s="491">
        <f t="shared" si="3"/>
        <v>273</v>
      </c>
      <c r="L22" s="491">
        <f>(M22/4)*2</f>
        <v>91</v>
      </c>
      <c r="M22" s="488">
        <v>182</v>
      </c>
      <c r="N22" s="491">
        <f t="shared" si="4"/>
        <v>169120</v>
      </c>
      <c r="O22" s="491">
        <v>56373</v>
      </c>
      <c r="P22" s="499">
        <v>112747</v>
      </c>
      <c r="Q22" s="499">
        <v>335008</v>
      </c>
      <c r="R22" s="499">
        <v>6600</v>
      </c>
      <c r="S22" s="491">
        <f t="shared" si="5"/>
        <v>20239900.5</v>
      </c>
      <c r="T22" s="491">
        <f>(U22/4)*2</f>
        <v>6746633.5</v>
      </c>
      <c r="U22" s="499">
        <v>13493267</v>
      </c>
      <c r="V22" s="483" t="s">
        <v>187</v>
      </c>
    </row>
    <row r="23" spans="1:21" s="492" customFormat="1" ht="19.5" customHeight="1">
      <c r="A23" s="59">
        <v>12</v>
      </c>
      <c r="B23" s="486" t="s">
        <v>364</v>
      </c>
      <c r="C23" s="487">
        <f>D23+E23</f>
        <v>4</v>
      </c>
      <c r="D23" s="493">
        <v>4</v>
      </c>
      <c r="E23" s="489">
        <v>0</v>
      </c>
      <c r="F23" s="488">
        <v>3</v>
      </c>
      <c r="G23" s="490">
        <v>202</v>
      </c>
      <c r="H23" s="491">
        <f t="shared" si="2"/>
        <v>26</v>
      </c>
      <c r="I23" s="488">
        <v>2</v>
      </c>
      <c r="J23" s="488">
        <v>24</v>
      </c>
      <c r="K23" s="491">
        <f t="shared" si="3"/>
        <v>26</v>
      </c>
      <c r="L23" s="488">
        <v>2</v>
      </c>
      <c r="M23" s="488">
        <v>24</v>
      </c>
      <c r="N23" s="491">
        <f t="shared" si="4"/>
        <v>1021675</v>
      </c>
      <c r="O23" s="488">
        <v>1000000</v>
      </c>
      <c r="P23" s="488">
        <v>21675</v>
      </c>
      <c r="Q23" s="488">
        <v>227663.497</v>
      </c>
      <c r="R23" s="488">
        <v>0</v>
      </c>
      <c r="S23" s="491">
        <f t="shared" si="5"/>
        <v>1284555.15</v>
      </c>
      <c r="T23" s="488">
        <v>1260000</v>
      </c>
      <c r="U23" s="488">
        <v>24555.15</v>
      </c>
    </row>
    <row r="24" spans="1:22" s="492" customFormat="1" ht="19.5" customHeight="1">
      <c r="A24" s="59">
        <v>13</v>
      </c>
      <c r="B24" s="486" t="s">
        <v>365</v>
      </c>
      <c r="C24" s="487">
        <v>9</v>
      </c>
      <c r="D24" s="494">
        <v>4</v>
      </c>
      <c r="E24" s="494">
        <v>5</v>
      </c>
      <c r="F24" s="488">
        <v>6</v>
      </c>
      <c r="G24" s="490">
        <v>213</v>
      </c>
      <c r="H24" s="491">
        <f t="shared" si="2"/>
        <v>184</v>
      </c>
      <c r="I24" s="491">
        <v>61</v>
      </c>
      <c r="J24" s="488">
        <v>123</v>
      </c>
      <c r="K24" s="491">
        <f t="shared" si="3"/>
        <v>184</v>
      </c>
      <c r="L24" s="491">
        <v>61</v>
      </c>
      <c r="M24" s="488">
        <v>123</v>
      </c>
      <c r="N24" s="496">
        <f t="shared" si="4"/>
        <v>390150000</v>
      </c>
      <c r="O24" s="500">
        <f>(P24/4)*2</f>
        <v>130050000</v>
      </c>
      <c r="P24" s="497">
        <v>260100000</v>
      </c>
      <c r="Q24" s="497">
        <v>354622000</v>
      </c>
      <c r="R24" s="501">
        <v>0</v>
      </c>
      <c r="S24" s="502">
        <f t="shared" si="5"/>
        <v>12281611090.5</v>
      </c>
      <c r="T24" s="502">
        <f>(U24/4)*2</f>
        <v>4093870363.5</v>
      </c>
      <c r="U24" s="497">
        <v>8187740727</v>
      </c>
      <c r="V24" s="483" t="s">
        <v>188</v>
      </c>
    </row>
    <row r="25" spans="1:21" s="492" customFormat="1" ht="19.5" customHeight="1">
      <c r="A25" s="59">
        <v>14</v>
      </c>
      <c r="B25" s="486" t="s">
        <v>366</v>
      </c>
      <c r="C25" s="487">
        <f>D25+E25</f>
        <v>1</v>
      </c>
      <c r="D25" s="488">
        <v>1</v>
      </c>
      <c r="E25" s="489">
        <v>0</v>
      </c>
      <c r="F25" s="488">
        <v>4</v>
      </c>
      <c r="G25" s="490">
        <v>11</v>
      </c>
      <c r="H25" s="491">
        <f t="shared" si="2"/>
        <v>16</v>
      </c>
      <c r="I25" s="491">
        <v>5</v>
      </c>
      <c r="J25" s="488">
        <v>11</v>
      </c>
      <c r="K25" s="491">
        <f t="shared" si="3"/>
        <v>12</v>
      </c>
      <c r="L25" s="491">
        <f>(M25/4)*2</f>
        <v>4</v>
      </c>
      <c r="M25" s="488">
        <v>8</v>
      </c>
      <c r="N25" s="491">
        <f t="shared" si="4"/>
        <v>8340</v>
      </c>
      <c r="O25" s="491">
        <f>(P25/4)*2</f>
        <v>2780</v>
      </c>
      <c r="P25" s="488">
        <v>5560</v>
      </c>
      <c r="Q25" s="488">
        <v>7449</v>
      </c>
      <c r="R25" s="488">
        <v>0</v>
      </c>
      <c r="S25" s="491">
        <f t="shared" si="5"/>
        <v>4185</v>
      </c>
      <c r="T25" s="491">
        <f>(U25/4)*2</f>
        <v>1395</v>
      </c>
      <c r="U25" s="488">
        <v>2790</v>
      </c>
    </row>
    <row r="26" spans="1:22" s="492" customFormat="1" ht="19.5" customHeight="1">
      <c r="A26" s="59">
        <v>15</v>
      </c>
      <c r="B26" s="486" t="s">
        <v>367</v>
      </c>
      <c r="C26" s="490">
        <f>D26+E26</f>
        <v>23</v>
      </c>
      <c r="D26" s="493">
        <v>23</v>
      </c>
      <c r="E26" s="494">
        <v>0</v>
      </c>
      <c r="F26" s="488">
        <v>24</v>
      </c>
      <c r="G26" s="490">
        <v>171</v>
      </c>
      <c r="H26" s="491">
        <f t="shared" si="2"/>
        <v>137</v>
      </c>
      <c r="I26" s="488">
        <v>84</v>
      </c>
      <c r="J26" s="488">
        <v>53</v>
      </c>
      <c r="K26" s="491">
        <f t="shared" si="3"/>
        <v>70</v>
      </c>
      <c r="L26" s="491">
        <v>23</v>
      </c>
      <c r="M26" s="488">
        <v>47</v>
      </c>
      <c r="N26" s="491">
        <f t="shared" si="4"/>
        <v>170760</v>
      </c>
      <c r="O26" s="488">
        <v>56980</v>
      </c>
      <c r="P26" s="488">
        <v>113780</v>
      </c>
      <c r="Q26" s="488">
        <v>447505</v>
      </c>
      <c r="R26" s="488">
        <v>0</v>
      </c>
      <c r="S26" s="491">
        <f t="shared" si="5"/>
        <v>149448</v>
      </c>
      <c r="T26" s="491">
        <f>(U26/4)*2</f>
        <v>49816</v>
      </c>
      <c r="U26" s="488">
        <v>99632</v>
      </c>
      <c r="V26" s="483" t="s">
        <v>189</v>
      </c>
    </row>
    <row r="27" spans="1:22" s="492" customFormat="1" ht="19.5" customHeight="1">
      <c r="A27" s="59">
        <v>16</v>
      </c>
      <c r="B27" s="486" t="s">
        <v>368</v>
      </c>
      <c r="C27" s="487">
        <f>D27+E27</f>
        <v>7</v>
      </c>
      <c r="D27" s="488">
        <v>6</v>
      </c>
      <c r="E27" s="489">
        <v>1</v>
      </c>
      <c r="F27" s="488">
        <v>17</v>
      </c>
      <c r="G27" s="490">
        <v>389</v>
      </c>
      <c r="H27" s="491">
        <f t="shared" si="2"/>
        <v>180</v>
      </c>
      <c r="I27" s="491">
        <f>(J27/4)*2</f>
        <v>60</v>
      </c>
      <c r="J27" s="488">
        <v>120</v>
      </c>
      <c r="K27" s="491">
        <f t="shared" si="3"/>
        <v>180</v>
      </c>
      <c r="L27" s="491">
        <f>(M27/4)*2</f>
        <v>60</v>
      </c>
      <c r="M27" s="488">
        <v>120</v>
      </c>
      <c r="N27" s="491">
        <f t="shared" si="4"/>
        <v>269910</v>
      </c>
      <c r="O27" s="491">
        <f>(P27/4)*2</f>
        <v>89970</v>
      </c>
      <c r="P27" s="488">
        <v>179940</v>
      </c>
      <c r="Q27" s="488">
        <v>598368</v>
      </c>
      <c r="R27" s="488">
        <v>25000</v>
      </c>
      <c r="S27" s="491">
        <f t="shared" si="5"/>
        <v>25995735</v>
      </c>
      <c r="T27" s="499">
        <v>25995735</v>
      </c>
      <c r="U27" s="499"/>
      <c r="V27" s="483" t="s">
        <v>190</v>
      </c>
    </row>
    <row r="28" spans="1:22" s="492" customFormat="1" ht="19.5" customHeight="1">
      <c r="A28" s="59">
        <v>17</v>
      </c>
      <c r="B28" s="486" t="s">
        <v>369</v>
      </c>
      <c r="C28" s="487">
        <f>D28+E28</f>
        <v>3</v>
      </c>
      <c r="D28" s="488">
        <v>3</v>
      </c>
      <c r="E28" s="489"/>
      <c r="F28" s="488">
        <v>9</v>
      </c>
      <c r="G28" s="490">
        <v>109</v>
      </c>
      <c r="H28" s="491">
        <f t="shared" si="2"/>
        <v>66</v>
      </c>
      <c r="I28" s="491">
        <f>(J28/4)*2</f>
        <v>22</v>
      </c>
      <c r="J28" s="488">
        <v>44</v>
      </c>
      <c r="K28" s="491">
        <f t="shared" si="3"/>
        <v>63</v>
      </c>
      <c r="L28" s="491">
        <f>(M28/4)*2</f>
        <v>21</v>
      </c>
      <c r="M28" s="488">
        <v>42</v>
      </c>
      <c r="N28" s="491">
        <f t="shared" si="4"/>
        <v>37800</v>
      </c>
      <c r="O28" s="491">
        <v>12550</v>
      </c>
      <c r="P28" s="488">
        <v>25250</v>
      </c>
      <c r="Q28" s="488">
        <v>292772</v>
      </c>
      <c r="R28" s="488">
        <v>33777</v>
      </c>
      <c r="S28" s="768">
        <f t="shared" si="5"/>
        <v>29391</v>
      </c>
      <c r="T28" s="768">
        <v>9797</v>
      </c>
      <c r="U28" s="768">
        <v>19594</v>
      </c>
      <c r="V28" s="483"/>
    </row>
    <row r="29" spans="1:22" s="492" customFormat="1" ht="19.5" customHeight="1">
      <c r="A29" s="59">
        <v>18</v>
      </c>
      <c r="B29" s="486" t="s">
        <v>370</v>
      </c>
      <c r="C29" s="487">
        <v>12</v>
      </c>
      <c r="D29" s="493">
        <v>1</v>
      </c>
      <c r="E29" s="494">
        <v>11</v>
      </c>
      <c r="F29" s="488">
        <v>3</v>
      </c>
      <c r="G29" s="490">
        <v>22</v>
      </c>
      <c r="H29" s="491">
        <f t="shared" si="2"/>
        <v>33</v>
      </c>
      <c r="I29" s="495">
        <f>(J29/4)*2</f>
        <v>11</v>
      </c>
      <c r="J29" s="488">
        <v>22</v>
      </c>
      <c r="K29" s="491">
        <f t="shared" si="3"/>
        <v>28.5</v>
      </c>
      <c r="L29" s="495">
        <f>(M29/4)*2</f>
        <v>9.5</v>
      </c>
      <c r="M29" s="488">
        <v>19</v>
      </c>
      <c r="N29" s="491">
        <f t="shared" si="4"/>
        <v>6462</v>
      </c>
      <c r="O29" s="495">
        <f>P29/4*2</f>
        <v>2154</v>
      </c>
      <c r="P29" s="488">
        <v>4308</v>
      </c>
      <c r="Q29" s="488">
        <v>62757</v>
      </c>
      <c r="R29" s="488">
        <v>0</v>
      </c>
      <c r="S29" s="499">
        <f t="shared" si="5"/>
        <v>0</v>
      </c>
      <c r="T29" s="488"/>
      <c r="U29" s="499">
        <v>0</v>
      </c>
      <c r="V29" s="483" t="s">
        <v>191</v>
      </c>
    </row>
    <row r="30" spans="1:21" s="492" customFormat="1" ht="19.5" customHeight="1">
      <c r="A30" s="59">
        <v>19</v>
      </c>
      <c r="B30" s="503" t="s">
        <v>371</v>
      </c>
      <c r="C30" s="487">
        <f>D30+E30</f>
        <v>10</v>
      </c>
      <c r="D30" s="488">
        <v>6</v>
      </c>
      <c r="E30" s="489">
        <v>4</v>
      </c>
      <c r="F30" s="488">
        <v>15</v>
      </c>
      <c r="G30" s="490">
        <v>395</v>
      </c>
      <c r="H30" s="491">
        <f t="shared" si="2"/>
        <v>244</v>
      </c>
      <c r="I30" s="488">
        <v>16</v>
      </c>
      <c r="J30" s="488">
        <v>228</v>
      </c>
      <c r="K30" s="491">
        <f t="shared" si="3"/>
        <v>72</v>
      </c>
      <c r="L30" s="488">
        <v>6</v>
      </c>
      <c r="M30" s="488">
        <v>66</v>
      </c>
      <c r="N30" s="491">
        <f t="shared" si="4"/>
        <v>198400</v>
      </c>
      <c r="O30" s="488">
        <v>3325</v>
      </c>
      <c r="P30" s="488">
        <v>195075</v>
      </c>
      <c r="Q30" s="488">
        <v>358709</v>
      </c>
      <c r="R30" s="488">
        <v>0</v>
      </c>
      <c r="S30" s="491">
        <f t="shared" si="5"/>
        <v>158172</v>
      </c>
      <c r="T30" s="488">
        <v>2250</v>
      </c>
      <c r="U30" s="488">
        <v>155922</v>
      </c>
    </row>
    <row r="31" spans="1:21" s="492" customFormat="1" ht="19.5" customHeight="1">
      <c r="A31" s="59">
        <v>20</v>
      </c>
      <c r="B31" s="503" t="s">
        <v>372</v>
      </c>
      <c r="C31" s="487">
        <f>D31+E31</f>
        <v>3</v>
      </c>
      <c r="D31" s="488">
        <v>3</v>
      </c>
      <c r="E31" s="489"/>
      <c r="F31" s="488">
        <v>9</v>
      </c>
      <c r="G31" s="490">
        <v>177</v>
      </c>
      <c r="H31" s="491">
        <f t="shared" si="2"/>
        <v>112</v>
      </c>
      <c r="I31" s="491">
        <v>37</v>
      </c>
      <c r="J31" s="488">
        <v>75</v>
      </c>
      <c r="K31" s="491">
        <f t="shared" si="3"/>
        <v>112</v>
      </c>
      <c r="L31" s="491">
        <v>37</v>
      </c>
      <c r="M31" s="488">
        <v>75</v>
      </c>
      <c r="N31" s="491">
        <f t="shared" si="4"/>
        <v>415020</v>
      </c>
      <c r="O31" s="491">
        <f aca="true" t="shared" si="6" ref="O31:O36">(P31/4)*2</f>
        <v>138340</v>
      </c>
      <c r="P31" s="488">
        <v>276680</v>
      </c>
      <c r="Q31" s="488">
        <v>339347</v>
      </c>
      <c r="R31" s="488">
        <v>0</v>
      </c>
      <c r="S31" s="491">
        <f t="shared" si="5"/>
        <v>17490</v>
      </c>
      <c r="T31" s="491">
        <f>(U31/4)*2</f>
        <v>5830</v>
      </c>
      <c r="U31" s="488">
        <v>11660</v>
      </c>
    </row>
    <row r="32" spans="1:22" s="492" customFormat="1" ht="19.5" customHeight="1">
      <c r="A32" s="59">
        <v>21</v>
      </c>
      <c r="B32" s="503" t="s">
        <v>373</v>
      </c>
      <c r="C32" s="504">
        <f>D32+E32</f>
        <v>7</v>
      </c>
      <c r="D32" s="493">
        <v>7</v>
      </c>
      <c r="E32" s="494">
        <v>0</v>
      </c>
      <c r="F32" s="488">
        <v>4</v>
      </c>
      <c r="G32" s="490">
        <v>69</v>
      </c>
      <c r="H32" s="491">
        <f t="shared" si="2"/>
        <v>57</v>
      </c>
      <c r="I32" s="491">
        <f>(J32/4)*2</f>
        <v>19</v>
      </c>
      <c r="J32" s="488">
        <v>38</v>
      </c>
      <c r="K32" s="491">
        <f t="shared" si="3"/>
        <v>25.5</v>
      </c>
      <c r="L32" s="491">
        <f>(M32/4)*2</f>
        <v>8.5</v>
      </c>
      <c r="M32" s="488">
        <v>17</v>
      </c>
      <c r="N32" s="491">
        <f t="shared" si="4"/>
        <v>68475</v>
      </c>
      <c r="O32" s="491">
        <f t="shared" si="6"/>
        <v>22825</v>
      </c>
      <c r="P32" s="488">
        <v>45650</v>
      </c>
      <c r="Q32" s="488">
        <v>162069</v>
      </c>
      <c r="R32" s="488">
        <v>0</v>
      </c>
      <c r="S32" s="491">
        <f t="shared" si="5"/>
        <v>30537</v>
      </c>
      <c r="T32" s="491">
        <f>(U32/4)*2</f>
        <v>10179</v>
      </c>
      <c r="U32" s="488">
        <v>20358</v>
      </c>
      <c r="V32" s="483" t="s">
        <v>192</v>
      </c>
    </row>
    <row r="33" spans="1:21" s="492" customFormat="1" ht="19.5" customHeight="1">
      <c r="A33" s="59">
        <v>22</v>
      </c>
      <c r="B33" s="503" t="s">
        <v>374</v>
      </c>
      <c r="C33" s="487">
        <v>1</v>
      </c>
      <c r="D33" s="488">
        <v>1</v>
      </c>
      <c r="E33" s="489"/>
      <c r="F33" s="488">
        <v>4</v>
      </c>
      <c r="G33" s="490">
        <v>12</v>
      </c>
      <c r="H33" s="491">
        <f t="shared" si="2"/>
        <v>15</v>
      </c>
      <c r="I33" s="491">
        <f>(J33/4)*2</f>
        <v>5</v>
      </c>
      <c r="J33" s="488">
        <v>10</v>
      </c>
      <c r="K33" s="491">
        <f t="shared" si="3"/>
        <v>13.5</v>
      </c>
      <c r="L33" s="491">
        <f>(M33/4)*2</f>
        <v>4.5</v>
      </c>
      <c r="M33" s="488">
        <v>9</v>
      </c>
      <c r="N33" s="491">
        <f t="shared" si="4"/>
        <v>2325</v>
      </c>
      <c r="O33" s="491">
        <f t="shared" si="6"/>
        <v>775</v>
      </c>
      <c r="P33" s="488">
        <v>1550</v>
      </c>
      <c r="Q33" s="488">
        <v>8211</v>
      </c>
      <c r="R33" s="488">
        <v>0</v>
      </c>
      <c r="S33" s="491">
        <f t="shared" si="5"/>
        <v>4392</v>
      </c>
      <c r="T33" s="491">
        <f>(U33/4)*2</f>
        <v>1464</v>
      </c>
      <c r="U33" s="488">
        <v>2928</v>
      </c>
    </row>
    <row r="34" spans="1:22" s="492" customFormat="1" ht="19.5" customHeight="1">
      <c r="A34" s="59">
        <v>23</v>
      </c>
      <c r="B34" s="503" t="s">
        <v>375</v>
      </c>
      <c r="C34" s="504">
        <f aca="true" t="shared" si="7" ref="C34:C40">D34+E34</f>
        <v>8</v>
      </c>
      <c r="D34" s="488">
        <v>2</v>
      </c>
      <c r="E34" s="489">
        <v>6</v>
      </c>
      <c r="F34" s="488">
        <v>15</v>
      </c>
      <c r="G34" s="490">
        <v>31</v>
      </c>
      <c r="H34" s="491">
        <f t="shared" si="2"/>
        <v>46.5</v>
      </c>
      <c r="I34" s="495">
        <f>(J34/4)*2</f>
        <v>15.5</v>
      </c>
      <c r="J34" s="488">
        <v>31</v>
      </c>
      <c r="K34" s="491">
        <f t="shared" si="3"/>
        <v>0</v>
      </c>
      <c r="L34" s="491">
        <f>(M34/4)*2</f>
        <v>0</v>
      </c>
      <c r="M34" s="488"/>
      <c r="N34" s="491">
        <f t="shared" si="4"/>
        <v>86625</v>
      </c>
      <c r="O34" s="495">
        <f t="shared" si="6"/>
        <v>28875</v>
      </c>
      <c r="P34" s="488">
        <v>57750</v>
      </c>
      <c r="Q34" s="488">
        <v>55407</v>
      </c>
      <c r="R34" s="488"/>
      <c r="S34" s="491">
        <f t="shared" si="5"/>
        <v>10304.55</v>
      </c>
      <c r="T34" s="505">
        <f>(U34/4)*2</f>
        <v>3434.85</v>
      </c>
      <c r="U34" s="488">
        <v>6869.7</v>
      </c>
      <c r="V34" s="483" t="s">
        <v>193</v>
      </c>
    </row>
    <row r="35" spans="1:21" s="492" customFormat="1" ht="19.5" customHeight="1">
      <c r="A35" s="59">
        <v>24</v>
      </c>
      <c r="B35" s="503" t="s">
        <v>376</v>
      </c>
      <c r="C35" s="487">
        <f t="shared" si="7"/>
        <v>18</v>
      </c>
      <c r="D35" s="488">
        <v>18</v>
      </c>
      <c r="E35" s="489">
        <v>0</v>
      </c>
      <c r="F35" s="488">
        <v>65</v>
      </c>
      <c r="G35" s="490">
        <v>299</v>
      </c>
      <c r="H35" s="491">
        <f t="shared" si="2"/>
        <v>430.5</v>
      </c>
      <c r="I35" s="491">
        <f>(J35/4)*2</f>
        <v>143.5</v>
      </c>
      <c r="J35" s="488">
        <v>287</v>
      </c>
      <c r="K35" s="491">
        <f t="shared" si="3"/>
        <v>358.5</v>
      </c>
      <c r="L35" s="491">
        <f>(M35/4)*2</f>
        <v>119.5</v>
      </c>
      <c r="M35" s="488">
        <v>239</v>
      </c>
      <c r="N35" s="491">
        <f t="shared" si="4"/>
        <v>312066</v>
      </c>
      <c r="O35" s="491">
        <f t="shared" si="6"/>
        <v>104022</v>
      </c>
      <c r="P35" s="488">
        <v>208044</v>
      </c>
      <c r="Q35" s="488">
        <v>3093867</v>
      </c>
      <c r="R35" s="488"/>
      <c r="S35" s="491">
        <f t="shared" si="5"/>
        <v>406707</v>
      </c>
      <c r="T35" s="491">
        <v>135568</v>
      </c>
      <c r="U35" s="488">
        <v>271139</v>
      </c>
    </row>
    <row r="36" spans="1:22" s="492" customFormat="1" ht="19.5" customHeight="1">
      <c r="A36" s="59">
        <v>25</v>
      </c>
      <c r="B36" s="503" t="s">
        <v>377</v>
      </c>
      <c r="C36" s="487">
        <f t="shared" si="7"/>
        <v>4</v>
      </c>
      <c r="D36" s="488">
        <v>2</v>
      </c>
      <c r="E36" s="489">
        <v>2</v>
      </c>
      <c r="F36" s="488">
        <v>7</v>
      </c>
      <c r="G36" s="490">
        <v>25</v>
      </c>
      <c r="H36" s="491">
        <f t="shared" si="2"/>
        <v>274.5</v>
      </c>
      <c r="I36" s="491">
        <f>(J36/4)*2</f>
        <v>91.5</v>
      </c>
      <c r="J36" s="488">
        <v>183</v>
      </c>
      <c r="K36" s="491">
        <f t="shared" si="3"/>
        <v>273</v>
      </c>
      <c r="L36" s="491">
        <f>(M36/4)*2</f>
        <v>91</v>
      </c>
      <c r="M36" s="488">
        <v>182</v>
      </c>
      <c r="N36" s="491">
        <f t="shared" si="4"/>
        <v>108885</v>
      </c>
      <c r="O36" s="491">
        <f t="shared" si="6"/>
        <v>36295</v>
      </c>
      <c r="P36" s="499">
        <v>72590</v>
      </c>
      <c r="Q36" s="499">
        <v>200340</v>
      </c>
      <c r="R36" s="499">
        <v>2000</v>
      </c>
      <c r="S36" s="491">
        <f t="shared" si="5"/>
        <v>762519</v>
      </c>
      <c r="T36" s="491">
        <f>(U36/4)*2</f>
        <v>254173</v>
      </c>
      <c r="U36" s="499">
        <v>508346</v>
      </c>
      <c r="V36" s="483" t="s">
        <v>187</v>
      </c>
    </row>
    <row r="37" spans="1:22" s="492" customFormat="1" ht="19.5" customHeight="1">
      <c r="A37" s="59">
        <v>26</v>
      </c>
      <c r="B37" s="503" t="s">
        <v>378</v>
      </c>
      <c r="C37" s="487">
        <f t="shared" si="7"/>
        <v>5</v>
      </c>
      <c r="D37" s="488">
        <v>4</v>
      </c>
      <c r="E37" s="489">
        <v>1</v>
      </c>
      <c r="F37" s="488">
        <v>13</v>
      </c>
      <c r="G37" s="490">
        <v>120</v>
      </c>
      <c r="H37" s="491">
        <f t="shared" si="2"/>
        <v>184</v>
      </c>
      <c r="I37" s="488">
        <v>46</v>
      </c>
      <c r="J37" s="488">
        <v>138</v>
      </c>
      <c r="K37" s="491">
        <f t="shared" si="3"/>
        <v>165</v>
      </c>
      <c r="L37" s="488">
        <v>41</v>
      </c>
      <c r="M37" s="488">
        <v>124</v>
      </c>
      <c r="N37" s="491">
        <f t="shared" si="4"/>
        <v>1178400</v>
      </c>
      <c r="O37" s="488">
        <v>912000</v>
      </c>
      <c r="P37" s="499">
        <v>266400</v>
      </c>
      <c r="Q37" s="499">
        <v>1996763</v>
      </c>
      <c r="R37" s="499">
        <v>0</v>
      </c>
      <c r="S37" s="499">
        <f t="shared" si="5"/>
        <v>357336186</v>
      </c>
      <c r="T37" s="499">
        <v>89334046</v>
      </c>
      <c r="U37" s="499">
        <v>268002140</v>
      </c>
      <c r="V37" s="483" t="s">
        <v>194</v>
      </c>
    </row>
    <row r="38" spans="1:21" s="492" customFormat="1" ht="19.5" customHeight="1">
      <c r="A38" s="59">
        <v>27</v>
      </c>
      <c r="B38" s="503" t="s">
        <v>379</v>
      </c>
      <c r="C38" s="487">
        <f t="shared" si="7"/>
        <v>7</v>
      </c>
      <c r="D38" s="488">
        <v>7</v>
      </c>
      <c r="E38" s="489">
        <v>0</v>
      </c>
      <c r="F38" s="488">
        <v>16</v>
      </c>
      <c r="G38" s="490">
        <v>148</v>
      </c>
      <c r="H38" s="491">
        <f t="shared" si="2"/>
        <v>190.5</v>
      </c>
      <c r="I38" s="491">
        <f aca="true" t="shared" si="8" ref="I38:I47">(J38/4)*2</f>
        <v>63.5</v>
      </c>
      <c r="J38" s="488">
        <v>127</v>
      </c>
      <c r="K38" s="491">
        <f t="shared" si="3"/>
        <v>150</v>
      </c>
      <c r="L38" s="491">
        <f aca="true" t="shared" si="9" ref="L38:L43">(M38/4)*2</f>
        <v>50</v>
      </c>
      <c r="M38" s="488">
        <v>100</v>
      </c>
      <c r="N38" s="491">
        <f t="shared" si="4"/>
        <v>0</v>
      </c>
      <c r="O38" s="488"/>
      <c r="P38" s="488">
        <v>0</v>
      </c>
      <c r="Q38" s="488">
        <v>1230235</v>
      </c>
      <c r="R38" s="488">
        <v>0</v>
      </c>
      <c r="S38" s="491">
        <f t="shared" si="5"/>
        <v>173488.5</v>
      </c>
      <c r="T38" s="491">
        <f aca="true" t="shared" si="10" ref="T38:T43">(U38/4)*2</f>
        <v>57829.5</v>
      </c>
      <c r="U38" s="488">
        <v>115659</v>
      </c>
    </row>
    <row r="39" spans="1:21" s="492" customFormat="1" ht="19.5" customHeight="1">
      <c r="A39" s="59">
        <v>28</v>
      </c>
      <c r="B39" s="503" t="s">
        <v>380</v>
      </c>
      <c r="C39" s="487">
        <f t="shared" si="7"/>
        <v>2</v>
      </c>
      <c r="D39" s="488">
        <v>2</v>
      </c>
      <c r="E39" s="489">
        <v>0</v>
      </c>
      <c r="F39" s="488">
        <v>4</v>
      </c>
      <c r="G39" s="490">
        <v>218</v>
      </c>
      <c r="H39" s="491">
        <f t="shared" si="2"/>
        <v>27</v>
      </c>
      <c r="I39" s="491">
        <f t="shared" si="8"/>
        <v>9</v>
      </c>
      <c r="J39" s="488">
        <v>18</v>
      </c>
      <c r="K39" s="491">
        <f t="shared" si="3"/>
        <v>27</v>
      </c>
      <c r="L39" s="491">
        <f t="shared" si="9"/>
        <v>9</v>
      </c>
      <c r="M39" s="488">
        <v>18</v>
      </c>
      <c r="N39" s="491">
        <f t="shared" si="4"/>
        <v>72525</v>
      </c>
      <c r="O39" s="491">
        <f>(P39/4)*2</f>
        <v>24175</v>
      </c>
      <c r="P39" s="488">
        <v>48350</v>
      </c>
      <c r="Q39" s="488">
        <v>213229</v>
      </c>
      <c r="R39" s="488">
        <v>0</v>
      </c>
      <c r="S39" s="491">
        <f t="shared" si="5"/>
        <v>38754</v>
      </c>
      <c r="T39" s="491">
        <f t="shared" si="10"/>
        <v>12918</v>
      </c>
      <c r="U39" s="488">
        <v>25836</v>
      </c>
    </row>
    <row r="40" spans="1:21" s="492" customFormat="1" ht="19.5" customHeight="1">
      <c r="A40" s="59">
        <v>29</v>
      </c>
      <c r="B40" s="503" t="s">
        <v>381</v>
      </c>
      <c r="C40" s="487">
        <f t="shared" si="7"/>
        <v>2</v>
      </c>
      <c r="D40" s="488">
        <v>2</v>
      </c>
      <c r="E40" s="489">
        <v>0</v>
      </c>
      <c r="F40" s="488">
        <v>4</v>
      </c>
      <c r="G40" s="490">
        <v>34</v>
      </c>
      <c r="H40" s="491">
        <f t="shared" si="2"/>
        <v>150</v>
      </c>
      <c r="I40" s="491">
        <f t="shared" si="8"/>
        <v>50</v>
      </c>
      <c r="J40" s="488">
        <v>100</v>
      </c>
      <c r="K40" s="491">
        <f t="shared" si="3"/>
        <v>96</v>
      </c>
      <c r="L40" s="491">
        <f t="shared" si="9"/>
        <v>32</v>
      </c>
      <c r="M40" s="488">
        <v>64</v>
      </c>
      <c r="N40" s="491">
        <f t="shared" si="4"/>
        <v>41850</v>
      </c>
      <c r="O40" s="491">
        <f>(P40/4)*2</f>
        <v>13950</v>
      </c>
      <c r="P40" s="488">
        <v>27900</v>
      </c>
      <c r="Q40" s="488">
        <v>52999</v>
      </c>
      <c r="R40" s="488">
        <v>0</v>
      </c>
      <c r="S40" s="491">
        <f t="shared" si="5"/>
        <v>56704.5</v>
      </c>
      <c r="T40" s="491">
        <f t="shared" si="10"/>
        <v>18901.5</v>
      </c>
      <c r="U40" s="488">
        <v>37803</v>
      </c>
    </row>
    <row r="41" spans="1:21" s="492" customFormat="1" ht="19.5" customHeight="1">
      <c r="A41" s="59">
        <v>30</v>
      </c>
      <c r="B41" s="503" t="s">
        <v>382</v>
      </c>
      <c r="C41" s="487">
        <v>1</v>
      </c>
      <c r="D41" s="493">
        <v>1</v>
      </c>
      <c r="E41" s="494">
        <v>0</v>
      </c>
      <c r="F41" s="488">
        <v>4</v>
      </c>
      <c r="G41" s="490">
        <v>29</v>
      </c>
      <c r="H41" s="491">
        <f t="shared" si="2"/>
        <v>30</v>
      </c>
      <c r="I41" s="491">
        <f t="shared" si="8"/>
        <v>10</v>
      </c>
      <c r="J41" s="488">
        <v>20</v>
      </c>
      <c r="K41" s="491">
        <f t="shared" si="3"/>
        <v>30</v>
      </c>
      <c r="L41" s="491">
        <f t="shared" si="9"/>
        <v>10</v>
      </c>
      <c r="M41" s="488">
        <v>20</v>
      </c>
      <c r="N41" s="491">
        <f t="shared" si="4"/>
        <v>345047</v>
      </c>
      <c r="O41" s="488">
        <v>115047</v>
      </c>
      <c r="P41" s="488">
        <v>230000</v>
      </c>
      <c r="Q41" s="488">
        <v>194864</v>
      </c>
      <c r="R41" s="488"/>
      <c r="S41" s="491">
        <f t="shared" si="5"/>
        <v>58458</v>
      </c>
      <c r="T41" s="491">
        <f t="shared" si="10"/>
        <v>19486</v>
      </c>
      <c r="U41" s="488">
        <v>38972</v>
      </c>
    </row>
    <row r="42" spans="1:21" s="492" customFormat="1" ht="19.5" customHeight="1">
      <c r="A42" s="59">
        <v>31</v>
      </c>
      <c r="B42" s="503" t="s">
        <v>383</v>
      </c>
      <c r="C42" s="487">
        <f aca="true" t="shared" si="11" ref="C42:C74">D42+E42</f>
        <v>5</v>
      </c>
      <c r="D42" s="488">
        <v>4</v>
      </c>
      <c r="E42" s="489">
        <v>1</v>
      </c>
      <c r="F42" s="488">
        <v>13</v>
      </c>
      <c r="G42" s="490">
        <v>128</v>
      </c>
      <c r="H42" s="491">
        <f t="shared" si="2"/>
        <v>96</v>
      </c>
      <c r="I42" s="491">
        <f t="shared" si="8"/>
        <v>32</v>
      </c>
      <c r="J42" s="488">
        <v>64</v>
      </c>
      <c r="K42" s="491">
        <f t="shared" si="3"/>
        <v>96</v>
      </c>
      <c r="L42" s="491">
        <f t="shared" si="9"/>
        <v>32</v>
      </c>
      <c r="M42" s="488">
        <v>64</v>
      </c>
      <c r="N42" s="491">
        <f t="shared" si="4"/>
        <v>65700</v>
      </c>
      <c r="O42" s="491">
        <f aca="true" t="shared" si="12" ref="O42:O48">(P42/4)*2</f>
        <v>21900</v>
      </c>
      <c r="P42" s="488">
        <v>43800</v>
      </c>
      <c r="Q42" s="488">
        <v>317476</v>
      </c>
      <c r="R42" s="488">
        <v>0</v>
      </c>
      <c r="S42" s="491">
        <f t="shared" si="5"/>
        <v>234960</v>
      </c>
      <c r="T42" s="491">
        <f t="shared" si="10"/>
        <v>78320</v>
      </c>
      <c r="U42" s="488">
        <v>156640</v>
      </c>
    </row>
    <row r="43" spans="1:21" s="492" customFormat="1" ht="19.5" customHeight="1">
      <c r="A43" s="59">
        <v>32</v>
      </c>
      <c r="B43" s="503" t="s">
        <v>384</v>
      </c>
      <c r="C43" s="487">
        <f t="shared" si="11"/>
        <v>4</v>
      </c>
      <c r="D43" s="488">
        <v>4</v>
      </c>
      <c r="E43" s="489">
        <v>0</v>
      </c>
      <c r="F43" s="488">
        <v>6</v>
      </c>
      <c r="G43" s="490">
        <v>57</v>
      </c>
      <c r="H43" s="491">
        <f t="shared" si="2"/>
        <v>97.5</v>
      </c>
      <c r="I43" s="491">
        <f t="shared" si="8"/>
        <v>32.5</v>
      </c>
      <c r="J43" s="488">
        <v>65</v>
      </c>
      <c r="K43" s="491">
        <f t="shared" si="3"/>
        <v>97.5</v>
      </c>
      <c r="L43" s="491">
        <f t="shared" si="9"/>
        <v>32.5</v>
      </c>
      <c r="M43" s="488">
        <v>65</v>
      </c>
      <c r="N43" s="491">
        <f t="shared" si="4"/>
        <v>267525</v>
      </c>
      <c r="O43" s="491">
        <f t="shared" si="12"/>
        <v>89175</v>
      </c>
      <c r="P43" s="488">
        <v>178350</v>
      </c>
      <c r="Q43" s="488">
        <v>495208</v>
      </c>
      <c r="R43" s="488">
        <v>0</v>
      </c>
      <c r="S43" s="491">
        <f t="shared" si="5"/>
        <v>98710.5</v>
      </c>
      <c r="T43" s="491">
        <f t="shared" si="10"/>
        <v>32903.5</v>
      </c>
      <c r="U43" s="488">
        <v>65807</v>
      </c>
    </row>
    <row r="44" spans="1:21" s="492" customFormat="1" ht="19.5" customHeight="1">
      <c r="A44" s="59">
        <v>33</v>
      </c>
      <c r="B44" s="503" t="s">
        <v>385</v>
      </c>
      <c r="C44" s="487">
        <f t="shared" si="11"/>
        <v>4</v>
      </c>
      <c r="D44" s="488">
        <v>4</v>
      </c>
      <c r="E44" s="489">
        <v>0</v>
      </c>
      <c r="F44" s="488">
        <v>12</v>
      </c>
      <c r="G44" s="490">
        <v>97</v>
      </c>
      <c r="H44" s="491">
        <f aca="true" t="shared" si="13" ref="H44:H74">I44+J44</f>
        <v>102</v>
      </c>
      <c r="I44" s="491">
        <f t="shared" si="8"/>
        <v>34</v>
      </c>
      <c r="J44" s="488">
        <v>68</v>
      </c>
      <c r="K44" s="491">
        <f aca="true" t="shared" si="14" ref="K44:K74">L44+M44</f>
        <v>91</v>
      </c>
      <c r="L44" s="488">
        <v>30</v>
      </c>
      <c r="M44" s="488">
        <v>61</v>
      </c>
      <c r="N44" s="491">
        <f aca="true" t="shared" si="15" ref="N44:N74">O44+P44</f>
        <v>73800</v>
      </c>
      <c r="O44" s="491">
        <f t="shared" si="12"/>
        <v>24600</v>
      </c>
      <c r="P44" s="488">
        <v>49200</v>
      </c>
      <c r="Q44" s="488">
        <v>149775</v>
      </c>
      <c r="R44" s="488">
        <v>0</v>
      </c>
      <c r="S44" s="491">
        <f aca="true" t="shared" si="16" ref="S44:S74">T44+U44</f>
        <v>36814</v>
      </c>
      <c r="T44" s="488">
        <v>12271</v>
      </c>
      <c r="U44" s="488">
        <v>24543</v>
      </c>
    </row>
    <row r="45" spans="1:21" s="492" customFormat="1" ht="19.5" customHeight="1">
      <c r="A45" s="59">
        <v>34</v>
      </c>
      <c r="B45" s="503" t="s">
        <v>386</v>
      </c>
      <c r="C45" s="487">
        <f t="shared" si="11"/>
        <v>1</v>
      </c>
      <c r="D45" s="488">
        <v>1</v>
      </c>
      <c r="E45" s="489">
        <v>0</v>
      </c>
      <c r="F45" s="488">
        <v>1</v>
      </c>
      <c r="G45" s="490">
        <v>13</v>
      </c>
      <c r="H45" s="491">
        <f t="shared" si="13"/>
        <v>49.5</v>
      </c>
      <c r="I45" s="491">
        <f t="shared" si="8"/>
        <v>16.5</v>
      </c>
      <c r="J45" s="488">
        <v>33</v>
      </c>
      <c r="K45" s="491">
        <f t="shared" si="14"/>
        <v>49.5</v>
      </c>
      <c r="L45" s="491">
        <f>(M45/4)*2</f>
        <v>16.5</v>
      </c>
      <c r="M45" s="488">
        <v>33</v>
      </c>
      <c r="N45" s="491">
        <f t="shared" si="15"/>
        <v>17040</v>
      </c>
      <c r="O45" s="491">
        <f t="shared" si="12"/>
        <v>5680</v>
      </c>
      <c r="P45" s="488">
        <v>11360</v>
      </c>
      <c r="Q45" s="488">
        <v>16247</v>
      </c>
      <c r="R45" s="488">
        <v>0</v>
      </c>
      <c r="S45" s="491">
        <f t="shared" si="16"/>
        <v>20692.5</v>
      </c>
      <c r="T45" s="491">
        <f>(U45/4)*2</f>
        <v>6897.5</v>
      </c>
      <c r="U45" s="488">
        <v>13795</v>
      </c>
    </row>
    <row r="46" spans="1:22" s="492" customFormat="1" ht="19.5" customHeight="1">
      <c r="A46" s="59">
        <v>35</v>
      </c>
      <c r="B46" s="503" t="s">
        <v>387</v>
      </c>
      <c r="C46" s="487">
        <f t="shared" si="11"/>
        <v>5</v>
      </c>
      <c r="D46" s="488">
        <v>5</v>
      </c>
      <c r="E46" s="489">
        <v>0</v>
      </c>
      <c r="F46" s="488">
        <v>11</v>
      </c>
      <c r="G46" s="490">
        <v>349</v>
      </c>
      <c r="H46" s="491">
        <f t="shared" si="13"/>
        <v>142.5</v>
      </c>
      <c r="I46" s="491">
        <f t="shared" si="8"/>
        <v>47.5</v>
      </c>
      <c r="J46" s="488">
        <v>95</v>
      </c>
      <c r="K46" s="491">
        <f t="shared" si="14"/>
        <v>142.5</v>
      </c>
      <c r="L46" s="491">
        <f>(M46/4)*2</f>
        <v>47.5</v>
      </c>
      <c r="M46" s="488">
        <v>95</v>
      </c>
      <c r="N46" s="491">
        <f t="shared" si="15"/>
        <v>66300</v>
      </c>
      <c r="O46" s="491">
        <f t="shared" si="12"/>
        <v>22100</v>
      </c>
      <c r="P46" s="488">
        <v>44200</v>
      </c>
      <c r="Q46" s="488">
        <v>690940</v>
      </c>
      <c r="R46" s="488">
        <v>11300</v>
      </c>
      <c r="S46" s="499">
        <f t="shared" si="16"/>
        <v>0</v>
      </c>
      <c r="T46" s="499">
        <f>U46/4*2</f>
        <v>0</v>
      </c>
      <c r="U46" s="499">
        <v>0</v>
      </c>
      <c r="V46" s="492" t="s">
        <v>195</v>
      </c>
    </row>
    <row r="47" spans="1:21" s="492" customFormat="1" ht="19.5" customHeight="1">
      <c r="A47" s="59">
        <v>36</v>
      </c>
      <c r="B47" s="71" t="s">
        <v>388</v>
      </c>
      <c r="C47" s="487">
        <f t="shared" si="11"/>
        <v>1</v>
      </c>
      <c r="D47" s="488">
        <v>1</v>
      </c>
      <c r="E47" s="489">
        <v>0</v>
      </c>
      <c r="F47" s="488">
        <v>4</v>
      </c>
      <c r="G47" s="490">
        <v>26</v>
      </c>
      <c r="H47" s="491">
        <f t="shared" si="13"/>
        <v>36</v>
      </c>
      <c r="I47" s="491">
        <f t="shared" si="8"/>
        <v>12</v>
      </c>
      <c r="J47" s="488">
        <v>24</v>
      </c>
      <c r="K47" s="491">
        <f t="shared" si="14"/>
        <v>36</v>
      </c>
      <c r="L47" s="491">
        <f>(M47/4)*2</f>
        <v>12</v>
      </c>
      <c r="M47" s="488">
        <v>24</v>
      </c>
      <c r="N47" s="491">
        <f t="shared" si="15"/>
        <v>25200</v>
      </c>
      <c r="O47" s="491">
        <f t="shared" si="12"/>
        <v>8400</v>
      </c>
      <c r="P47" s="488">
        <v>16800</v>
      </c>
      <c r="Q47" s="488">
        <v>68998</v>
      </c>
      <c r="R47" s="488">
        <v>0</v>
      </c>
      <c r="S47" s="491">
        <f t="shared" si="16"/>
        <v>12868.5</v>
      </c>
      <c r="T47" s="491">
        <f>(U47/4)*2</f>
        <v>4289.5</v>
      </c>
      <c r="U47" s="488">
        <v>8579</v>
      </c>
    </row>
    <row r="48" spans="1:21" s="492" customFormat="1" ht="19.5" customHeight="1">
      <c r="A48" s="59">
        <v>37</v>
      </c>
      <c r="B48" s="71" t="s">
        <v>389</v>
      </c>
      <c r="C48" s="487">
        <f t="shared" si="11"/>
        <v>5</v>
      </c>
      <c r="D48" s="488">
        <v>3</v>
      </c>
      <c r="E48" s="489">
        <v>2</v>
      </c>
      <c r="F48" s="488">
        <v>7</v>
      </c>
      <c r="G48" s="490">
        <v>41</v>
      </c>
      <c r="H48" s="491">
        <f t="shared" si="13"/>
        <v>107</v>
      </c>
      <c r="I48" s="488">
        <v>33</v>
      </c>
      <c r="J48" s="488">
        <v>74</v>
      </c>
      <c r="K48" s="491">
        <f t="shared" si="14"/>
        <v>107</v>
      </c>
      <c r="L48" s="491">
        <v>33</v>
      </c>
      <c r="M48" s="488">
        <v>74</v>
      </c>
      <c r="N48" s="491">
        <f t="shared" si="15"/>
        <v>103800</v>
      </c>
      <c r="O48" s="491">
        <f t="shared" si="12"/>
        <v>34600</v>
      </c>
      <c r="P48" s="488">
        <v>69200</v>
      </c>
      <c r="Q48" s="488">
        <v>228824</v>
      </c>
      <c r="R48" s="488">
        <v>0</v>
      </c>
      <c r="S48" s="491">
        <f t="shared" si="16"/>
        <v>64191</v>
      </c>
      <c r="T48" s="491">
        <f>(U48/4)*2</f>
        <v>21397</v>
      </c>
      <c r="U48" s="488">
        <v>42794</v>
      </c>
    </row>
    <row r="49" spans="1:21" s="492" customFormat="1" ht="19.5" customHeight="1">
      <c r="A49" s="59">
        <v>38</v>
      </c>
      <c r="B49" s="71" t="s">
        <v>390</v>
      </c>
      <c r="C49" s="487">
        <f t="shared" si="11"/>
        <v>10</v>
      </c>
      <c r="D49" s="488">
        <v>10</v>
      </c>
      <c r="E49" s="489">
        <v>0</v>
      </c>
      <c r="F49" s="488">
        <v>15</v>
      </c>
      <c r="G49" s="490">
        <v>218</v>
      </c>
      <c r="H49" s="491">
        <f t="shared" si="13"/>
        <v>528</v>
      </c>
      <c r="I49" s="491">
        <f>(J49/4)*2</f>
        <v>176</v>
      </c>
      <c r="J49" s="488">
        <v>352</v>
      </c>
      <c r="K49" s="491">
        <f t="shared" si="14"/>
        <v>91.5</v>
      </c>
      <c r="L49" s="491">
        <f>(M49/4)*2</f>
        <v>30.5</v>
      </c>
      <c r="M49" s="488">
        <v>61</v>
      </c>
      <c r="N49" s="491">
        <f t="shared" si="15"/>
        <v>258070</v>
      </c>
      <c r="O49" s="491">
        <v>86023</v>
      </c>
      <c r="P49" s="488">
        <v>172047</v>
      </c>
      <c r="Q49" s="488">
        <v>133459</v>
      </c>
      <c r="R49" s="488">
        <v>7000</v>
      </c>
      <c r="S49" s="491">
        <f t="shared" si="16"/>
        <v>166414</v>
      </c>
      <c r="T49" s="488">
        <v>66956</v>
      </c>
      <c r="U49" s="488">
        <v>99458</v>
      </c>
    </row>
    <row r="50" spans="1:22" s="492" customFormat="1" ht="19.5" customHeight="1">
      <c r="A50" s="59">
        <v>39</v>
      </c>
      <c r="B50" s="71" t="s">
        <v>391</v>
      </c>
      <c r="C50" s="487">
        <f t="shared" si="11"/>
        <v>4</v>
      </c>
      <c r="D50" s="488">
        <v>1</v>
      </c>
      <c r="E50" s="489">
        <v>3</v>
      </c>
      <c r="F50" s="488">
        <v>3</v>
      </c>
      <c r="G50" s="490">
        <v>6</v>
      </c>
      <c r="H50" s="491">
        <f t="shared" si="13"/>
        <v>22</v>
      </c>
      <c r="I50" s="488">
        <v>7</v>
      </c>
      <c r="J50" s="488">
        <v>15</v>
      </c>
      <c r="K50" s="491">
        <f t="shared" si="14"/>
        <v>22</v>
      </c>
      <c r="L50" s="488">
        <v>7</v>
      </c>
      <c r="M50" s="488">
        <v>15</v>
      </c>
      <c r="N50" s="491">
        <f t="shared" si="15"/>
        <v>4860</v>
      </c>
      <c r="O50" s="491">
        <f>(P50/4)*2</f>
        <v>1620</v>
      </c>
      <c r="P50" s="499">
        <v>3240</v>
      </c>
      <c r="Q50" s="499">
        <v>132278</v>
      </c>
      <c r="R50" s="499">
        <v>0</v>
      </c>
      <c r="S50" s="491">
        <f t="shared" si="16"/>
        <v>3994747.5</v>
      </c>
      <c r="T50" s="491">
        <f>(U50/4)*2</f>
        <v>1331582.5</v>
      </c>
      <c r="U50" s="499">
        <v>2663165</v>
      </c>
      <c r="V50" s="483" t="s">
        <v>187</v>
      </c>
    </row>
    <row r="51" spans="1:21" s="492" customFormat="1" ht="19.5" customHeight="1">
      <c r="A51" s="59">
        <v>40</v>
      </c>
      <c r="B51" s="71" t="s">
        <v>392</v>
      </c>
      <c r="C51" s="487">
        <f t="shared" si="11"/>
        <v>27</v>
      </c>
      <c r="D51" s="488">
        <v>6</v>
      </c>
      <c r="E51" s="489">
        <v>21</v>
      </c>
      <c r="F51" s="488">
        <v>13</v>
      </c>
      <c r="G51" s="490">
        <v>42</v>
      </c>
      <c r="H51" s="491">
        <f t="shared" si="13"/>
        <v>127.5</v>
      </c>
      <c r="I51" s="491">
        <f aca="true" t="shared" si="17" ref="I51:I60">(J51/4)*2</f>
        <v>42.5</v>
      </c>
      <c r="J51" s="488">
        <v>85</v>
      </c>
      <c r="K51" s="491">
        <f t="shared" si="14"/>
        <v>127.5</v>
      </c>
      <c r="L51" s="491">
        <f>M51/4*2</f>
        <v>42.5</v>
      </c>
      <c r="M51" s="488">
        <v>85</v>
      </c>
      <c r="N51" s="491">
        <f t="shared" si="15"/>
        <v>45975</v>
      </c>
      <c r="O51" s="491">
        <f>P51/4*2</f>
        <v>15325</v>
      </c>
      <c r="P51" s="488">
        <v>30650</v>
      </c>
      <c r="Q51" s="488">
        <v>964363</v>
      </c>
      <c r="R51" s="488">
        <v>0</v>
      </c>
      <c r="S51" s="491">
        <f t="shared" si="16"/>
        <v>1267996.5</v>
      </c>
      <c r="T51" s="491">
        <f>U51/4*2</f>
        <v>422665.5</v>
      </c>
      <c r="U51" s="488">
        <v>845331</v>
      </c>
    </row>
    <row r="52" spans="1:22" s="492" customFormat="1" ht="19.5" customHeight="1">
      <c r="A52" s="59">
        <v>41</v>
      </c>
      <c r="B52" s="71" t="s">
        <v>393</v>
      </c>
      <c r="C52" s="487">
        <f t="shared" si="11"/>
        <v>2</v>
      </c>
      <c r="D52" s="488">
        <v>2</v>
      </c>
      <c r="E52" s="489">
        <v>0</v>
      </c>
      <c r="F52" s="488">
        <v>5</v>
      </c>
      <c r="G52" s="490">
        <v>48</v>
      </c>
      <c r="H52" s="491">
        <f t="shared" si="13"/>
        <v>48</v>
      </c>
      <c r="I52" s="488">
        <f t="shared" si="17"/>
        <v>16</v>
      </c>
      <c r="J52" s="488">
        <v>32</v>
      </c>
      <c r="K52" s="491">
        <f t="shared" si="14"/>
        <v>37</v>
      </c>
      <c r="L52" s="488">
        <v>12</v>
      </c>
      <c r="M52" s="488">
        <v>25</v>
      </c>
      <c r="N52" s="491">
        <f t="shared" si="15"/>
        <v>111587</v>
      </c>
      <c r="O52" s="488">
        <v>37000</v>
      </c>
      <c r="P52" s="488">
        <v>74587</v>
      </c>
      <c r="Q52" s="488">
        <v>341130</v>
      </c>
      <c r="R52" s="488">
        <v>0</v>
      </c>
      <c r="S52" s="491">
        <f t="shared" si="16"/>
        <v>44089489</v>
      </c>
      <c r="T52" s="506">
        <v>44000000</v>
      </c>
      <c r="U52" s="488">
        <v>89489</v>
      </c>
      <c r="V52" s="483" t="s">
        <v>196</v>
      </c>
    </row>
    <row r="53" spans="1:22" s="492" customFormat="1" ht="19.5" customHeight="1">
      <c r="A53" s="59">
        <v>42</v>
      </c>
      <c r="B53" s="71" t="s">
        <v>394</v>
      </c>
      <c r="C53" s="487">
        <f t="shared" si="11"/>
        <v>10</v>
      </c>
      <c r="D53" s="488">
        <v>2</v>
      </c>
      <c r="E53" s="489">
        <v>8</v>
      </c>
      <c r="F53" s="488">
        <v>3</v>
      </c>
      <c r="G53" s="490">
        <v>65</v>
      </c>
      <c r="H53" s="491">
        <f t="shared" si="13"/>
        <v>96</v>
      </c>
      <c r="I53" s="491">
        <f t="shared" si="17"/>
        <v>32</v>
      </c>
      <c r="J53" s="488">
        <v>64</v>
      </c>
      <c r="K53" s="491">
        <f t="shared" si="14"/>
        <v>96</v>
      </c>
      <c r="L53" s="491">
        <f>(M53/4)*2</f>
        <v>32</v>
      </c>
      <c r="M53" s="488">
        <v>64</v>
      </c>
      <c r="N53" s="491">
        <f t="shared" si="15"/>
        <v>46639.5</v>
      </c>
      <c r="O53" s="491">
        <f>(P53/4)*2</f>
        <v>15546.5</v>
      </c>
      <c r="P53" s="499">
        <v>31093</v>
      </c>
      <c r="Q53" s="499">
        <v>139976</v>
      </c>
      <c r="R53" s="499"/>
      <c r="S53" s="491">
        <f t="shared" si="16"/>
        <v>2379229.5</v>
      </c>
      <c r="T53" s="491">
        <f>(U53/4)*2</f>
        <v>793076.5</v>
      </c>
      <c r="U53" s="499">
        <v>1586153</v>
      </c>
      <c r="V53" s="483" t="s">
        <v>187</v>
      </c>
    </row>
    <row r="54" spans="1:21" s="492" customFormat="1" ht="19.5" customHeight="1">
      <c r="A54" s="59">
        <v>43</v>
      </c>
      <c r="B54" s="71" t="s">
        <v>395</v>
      </c>
      <c r="C54" s="487">
        <f t="shared" si="11"/>
        <v>2</v>
      </c>
      <c r="D54" s="488">
        <v>2</v>
      </c>
      <c r="E54" s="489">
        <v>0</v>
      </c>
      <c r="F54" s="488">
        <v>5</v>
      </c>
      <c r="G54" s="490">
        <v>24</v>
      </c>
      <c r="H54" s="491">
        <f t="shared" si="13"/>
        <v>36</v>
      </c>
      <c r="I54" s="491">
        <f t="shared" si="17"/>
        <v>12</v>
      </c>
      <c r="J54" s="488">
        <v>24</v>
      </c>
      <c r="K54" s="491">
        <f t="shared" si="14"/>
        <v>22</v>
      </c>
      <c r="L54" s="491">
        <v>7</v>
      </c>
      <c r="M54" s="488">
        <v>15</v>
      </c>
      <c r="N54" s="491">
        <f t="shared" si="15"/>
        <v>23218.5</v>
      </c>
      <c r="O54" s="491">
        <f>(P54/4)*2</f>
        <v>7739.5</v>
      </c>
      <c r="P54" s="488">
        <v>15479</v>
      </c>
      <c r="Q54" s="488">
        <v>158804</v>
      </c>
      <c r="R54" s="488">
        <v>0</v>
      </c>
      <c r="S54" s="491">
        <f t="shared" si="16"/>
        <v>68414</v>
      </c>
      <c r="T54" s="488">
        <v>22738</v>
      </c>
      <c r="U54" s="488">
        <v>45676</v>
      </c>
    </row>
    <row r="55" spans="1:21" s="492" customFormat="1" ht="19.5" customHeight="1">
      <c r="A55" s="59">
        <v>44</v>
      </c>
      <c r="B55" s="71" t="s">
        <v>396</v>
      </c>
      <c r="C55" s="487">
        <f t="shared" si="11"/>
        <v>8</v>
      </c>
      <c r="D55" s="488">
        <v>8</v>
      </c>
      <c r="E55" s="489"/>
      <c r="F55" s="488">
        <v>13</v>
      </c>
      <c r="G55" s="490">
        <v>132</v>
      </c>
      <c r="H55" s="491">
        <f t="shared" si="13"/>
        <v>109.5</v>
      </c>
      <c r="I55" s="491">
        <f t="shared" si="17"/>
        <v>36.5</v>
      </c>
      <c r="J55" s="488">
        <v>73</v>
      </c>
      <c r="K55" s="491">
        <f t="shared" si="14"/>
        <v>73.5</v>
      </c>
      <c r="L55" s="491">
        <f aca="true" t="shared" si="18" ref="L55:L60">(M55/4)*2</f>
        <v>24.5</v>
      </c>
      <c r="M55" s="488">
        <v>49</v>
      </c>
      <c r="N55" s="491">
        <f t="shared" si="15"/>
        <v>101617.5</v>
      </c>
      <c r="O55" s="491">
        <f>(P55/4)*2</f>
        <v>33872.5</v>
      </c>
      <c r="P55" s="488">
        <v>67745</v>
      </c>
      <c r="Q55" s="488">
        <v>306010</v>
      </c>
      <c r="R55" s="488">
        <v>13600</v>
      </c>
      <c r="S55" s="491">
        <f t="shared" si="16"/>
        <v>138378</v>
      </c>
      <c r="T55" s="491">
        <f aca="true" t="shared" si="19" ref="T55:T63">(U55/4)*2</f>
        <v>46126</v>
      </c>
      <c r="U55" s="488">
        <v>92252</v>
      </c>
    </row>
    <row r="56" spans="1:21" s="492" customFormat="1" ht="19.5" customHeight="1">
      <c r="A56" s="59">
        <v>45</v>
      </c>
      <c r="B56" s="507" t="s">
        <v>397</v>
      </c>
      <c r="C56" s="487">
        <f t="shared" si="11"/>
        <v>7</v>
      </c>
      <c r="D56" s="488">
        <v>2</v>
      </c>
      <c r="E56" s="489">
        <v>5</v>
      </c>
      <c r="F56" s="488">
        <v>3</v>
      </c>
      <c r="G56" s="490">
        <v>27</v>
      </c>
      <c r="H56" s="491">
        <f t="shared" si="13"/>
        <v>259.5</v>
      </c>
      <c r="I56" s="491">
        <f t="shared" si="17"/>
        <v>86.5</v>
      </c>
      <c r="J56" s="488">
        <v>173</v>
      </c>
      <c r="K56" s="491">
        <f t="shared" si="14"/>
        <v>100.5</v>
      </c>
      <c r="L56" s="491">
        <f t="shared" si="18"/>
        <v>33.5</v>
      </c>
      <c r="M56" s="488">
        <v>67</v>
      </c>
      <c r="N56" s="491">
        <f t="shared" si="15"/>
        <v>216658</v>
      </c>
      <c r="O56" s="488">
        <v>58</v>
      </c>
      <c r="P56" s="488">
        <v>216600</v>
      </c>
      <c r="Q56" s="488">
        <v>97298124</v>
      </c>
      <c r="R56" s="488">
        <v>0</v>
      </c>
      <c r="S56" s="491">
        <f t="shared" si="16"/>
        <v>277023</v>
      </c>
      <c r="T56" s="491">
        <f t="shared" si="19"/>
        <v>92341</v>
      </c>
      <c r="U56" s="488">
        <v>184682</v>
      </c>
    </row>
    <row r="57" spans="1:21" s="492" customFormat="1" ht="19.5" customHeight="1">
      <c r="A57" s="59">
        <v>46</v>
      </c>
      <c r="B57" s="507" t="s">
        <v>398</v>
      </c>
      <c r="C57" s="487">
        <f t="shared" si="11"/>
        <v>8</v>
      </c>
      <c r="D57" s="488">
        <v>4</v>
      </c>
      <c r="E57" s="489">
        <v>4</v>
      </c>
      <c r="F57" s="488">
        <v>15</v>
      </c>
      <c r="G57" s="490">
        <v>102</v>
      </c>
      <c r="H57" s="491">
        <f t="shared" si="13"/>
        <v>198</v>
      </c>
      <c r="I57" s="495">
        <f t="shared" si="17"/>
        <v>66</v>
      </c>
      <c r="J57" s="488">
        <v>132</v>
      </c>
      <c r="K57" s="491">
        <f t="shared" si="14"/>
        <v>196.5</v>
      </c>
      <c r="L57" s="495">
        <f t="shared" si="18"/>
        <v>65.5</v>
      </c>
      <c r="M57" s="488">
        <v>131</v>
      </c>
      <c r="N57" s="491">
        <f t="shared" si="15"/>
        <v>251437.5</v>
      </c>
      <c r="O57" s="495">
        <f>P57/4*2</f>
        <v>83812.5</v>
      </c>
      <c r="P57" s="488">
        <v>167625</v>
      </c>
      <c r="Q57" s="488">
        <v>353915</v>
      </c>
      <c r="R57" s="501">
        <v>3773150</v>
      </c>
      <c r="S57" s="491">
        <f t="shared" si="16"/>
        <v>6162417</v>
      </c>
      <c r="T57" s="495">
        <f t="shared" si="19"/>
        <v>2054139</v>
      </c>
      <c r="U57" s="488">
        <v>4108278</v>
      </c>
    </row>
    <row r="58" spans="1:21" s="492" customFormat="1" ht="19.5" customHeight="1">
      <c r="A58" s="59">
        <v>47</v>
      </c>
      <c r="B58" s="507" t="s">
        <v>399</v>
      </c>
      <c r="C58" s="487">
        <f t="shared" si="11"/>
        <v>7</v>
      </c>
      <c r="D58" s="488">
        <v>7</v>
      </c>
      <c r="E58" s="489">
        <v>0</v>
      </c>
      <c r="F58" s="488">
        <v>19</v>
      </c>
      <c r="G58" s="490">
        <v>56</v>
      </c>
      <c r="H58" s="491">
        <f t="shared" si="13"/>
        <v>160.5</v>
      </c>
      <c r="I58" s="491">
        <f t="shared" si="17"/>
        <v>53.5</v>
      </c>
      <c r="J58" s="488">
        <v>107</v>
      </c>
      <c r="K58" s="491">
        <f t="shared" si="14"/>
        <v>151.5</v>
      </c>
      <c r="L58" s="491">
        <f t="shared" si="18"/>
        <v>50.5</v>
      </c>
      <c r="M58" s="488">
        <v>101</v>
      </c>
      <c r="N58" s="491">
        <f t="shared" si="15"/>
        <v>175718</v>
      </c>
      <c r="O58" s="488">
        <v>58579</v>
      </c>
      <c r="P58" s="488">
        <v>117139</v>
      </c>
      <c r="Q58" s="488">
        <v>98749</v>
      </c>
      <c r="R58" s="488">
        <v>5700</v>
      </c>
      <c r="S58" s="491">
        <f t="shared" si="16"/>
        <v>23437.5</v>
      </c>
      <c r="T58" s="491">
        <f t="shared" si="19"/>
        <v>7812.5</v>
      </c>
      <c r="U58" s="488">
        <v>15625</v>
      </c>
    </row>
    <row r="59" spans="1:21" s="492" customFormat="1" ht="19.5" customHeight="1">
      <c r="A59" s="59">
        <v>48</v>
      </c>
      <c r="B59" s="507" t="s">
        <v>400</v>
      </c>
      <c r="C59" s="487">
        <f t="shared" si="11"/>
        <v>9</v>
      </c>
      <c r="D59" s="488">
        <v>9</v>
      </c>
      <c r="E59" s="489">
        <v>0</v>
      </c>
      <c r="F59" s="488">
        <v>15</v>
      </c>
      <c r="G59" s="490">
        <v>118</v>
      </c>
      <c r="H59" s="491">
        <f t="shared" si="13"/>
        <v>165</v>
      </c>
      <c r="I59" s="491">
        <f t="shared" si="17"/>
        <v>55</v>
      </c>
      <c r="J59" s="488">
        <v>110</v>
      </c>
      <c r="K59" s="491">
        <f t="shared" si="14"/>
        <v>124.5</v>
      </c>
      <c r="L59" s="491">
        <f t="shared" si="18"/>
        <v>41.5</v>
      </c>
      <c r="M59" s="488">
        <v>83</v>
      </c>
      <c r="N59" s="491">
        <f t="shared" si="15"/>
        <v>138000</v>
      </c>
      <c r="O59" s="491">
        <f>(P59/4)*2</f>
        <v>46000</v>
      </c>
      <c r="P59" s="488">
        <v>92000</v>
      </c>
      <c r="Q59" s="488">
        <v>361019</v>
      </c>
      <c r="R59" s="488">
        <v>0</v>
      </c>
      <c r="S59" s="491">
        <f t="shared" si="16"/>
        <v>104485.5</v>
      </c>
      <c r="T59" s="491">
        <f t="shared" si="19"/>
        <v>34828.5</v>
      </c>
      <c r="U59" s="488">
        <v>69657</v>
      </c>
    </row>
    <row r="60" spans="1:22" s="492" customFormat="1" ht="19.5" customHeight="1">
      <c r="A60" s="59">
        <v>49</v>
      </c>
      <c r="B60" s="507" t="s">
        <v>401</v>
      </c>
      <c r="C60" s="487">
        <f t="shared" si="11"/>
        <v>3</v>
      </c>
      <c r="D60" s="488">
        <v>3</v>
      </c>
      <c r="E60" s="489">
        <v>0</v>
      </c>
      <c r="F60" s="488">
        <v>9</v>
      </c>
      <c r="G60" s="490">
        <v>24</v>
      </c>
      <c r="H60" s="491">
        <f t="shared" si="13"/>
        <v>198</v>
      </c>
      <c r="I60" s="495">
        <f t="shared" si="17"/>
        <v>66</v>
      </c>
      <c r="J60" s="488">
        <v>132</v>
      </c>
      <c r="K60" s="491">
        <f t="shared" si="14"/>
        <v>21</v>
      </c>
      <c r="L60" s="495">
        <f t="shared" si="18"/>
        <v>7</v>
      </c>
      <c r="M60" s="493">
        <v>14</v>
      </c>
      <c r="N60" s="491">
        <f t="shared" si="15"/>
        <v>237897</v>
      </c>
      <c r="O60" s="491">
        <f>(P60/4)*2</f>
        <v>79299</v>
      </c>
      <c r="P60" s="488">
        <v>158598</v>
      </c>
      <c r="Q60" s="488">
        <v>171344</v>
      </c>
      <c r="R60" s="488">
        <v>98000</v>
      </c>
      <c r="S60" s="491">
        <f t="shared" si="16"/>
        <v>55950</v>
      </c>
      <c r="T60" s="491">
        <f t="shared" si="19"/>
        <v>18650</v>
      </c>
      <c r="U60" s="488">
        <v>37300</v>
      </c>
      <c r="V60" s="483" t="s">
        <v>197</v>
      </c>
    </row>
    <row r="61" spans="1:21" s="492" customFormat="1" ht="19.5" customHeight="1">
      <c r="A61" s="59">
        <v>50</v>
      </c>
      <c r="B61" s="507" t="s">
        <v>402</v>
      </c>
      <c r="C61" s="487">
        <f t="shared" si="11"/>
        <v>9</v>
      </c>
      <c r="D61" s="488">
        <v>1</v>
      </c>
      <c r="E61" s="494">
        <v>8</v>
      </c>
      <c r="F61" s="488">
        <v>3</v>
      </c>
      <c r="G61" s="490">
        <v>95</v>
      </c>
      <c r="H61" s="491">
        <f t="shared" si="13"/>
        <v>16</v>
      </c>
      <c r="I61" s="488">
        <v>4</v>
      </c>
      <c r="J61" s="488">
        <v>12</v>
      </c>
      <c r="K61" s="491">
        <f t="shared" si="14"/>
        <v>16</v>
      </c>
      <c r="L61" s="488">
        <v>4</v>
      </c>
      <c r="M61" s="488">
        <v>12</v>
      </c>
      <c r="N61" s="491">
        <f t="shared" si="15"/>
        <v>38910</v>
      </c>
      <c r="O61" s="491">
        <f>(P61/4)*2</f>
        <v>12970</v>
      </c>
      <c r="P61" s="488">
        <v>25940</v>
      </c>
      <c r="Q61" s="488">
        <v>18242.5</v>
      </c>
      <c r="R61" s="488">
        <v>0</v>
      </c>
      <c r="S61" s="491">
        <f t="shared" si="16"/>
        <v>13254.75</v>
      </c>
      <c r="T61" s="491">
        <f t="shared" si="19"/>
        <v>4418.25</v>
      </c>
      <c r="U61" s="488">
        <v>8836.5</v>
      </c>
    </row>
    <row r="62" spans="1:21" s="492" customFormat="1" ht="19.5" customHeight="1">
      <c r="A62" s="59">
        <v>51</v>
      </c>
      <c r="B62" s="508" t="s">
        <v>403</v>
      </c>
      <c r="C62" s="487">
        <f t="shared" si="11"/>
        <v>1</v>
      </c>
      <c r="D62" s="488">
        <v>1</v>
      </c>
      <c r="E62" s="489">
        <v>0</v>
      </c>
      <c r="F62" s="488">
        <v>3</v>
      </c>
      <c r="G62" s="490">
        <v>43</v>
      </c>
      <c r="H62" s="491">
        <f t="shared" si="13"/>
        <v>51</v>
      </c>
      <c r="I62" s="491">
        <f>(J62/4)*2</f>
        <v>17</v>
      </c>
      <c r="J62" s="488">
        <v>34</v>
      </c>
      <c r="K62" s="491">
        <f t="shared" si="14"/>
        <v>51</v>
      </c>
      <c r="L62" s="491">
        <f>(M62/4)*2</f>
        <v>17</v>
      </c>
      <c r="M62" s="488">
        <v>34</v>
      </c>
      <c r="N62" s="491">
        <f t="shared" si="15"/>
        <v>13075</v>
      </c>
      <c r="O62" s="488">
        <v>11025</v>
      </c>
      <c r="P62" s="488">
        <v>2050</v>
      </c>
      <c r="Q62" s="488">
        <v>46253.5</v>
      </c>
      <c r="R62" s="488">
        <v>0</v>
      </c>
      <c r="S62" s="491">
        <f t="shared" si="16"/>
        <v>30736.5</v>
      </c>
      <c r="T62" s="491">
        <f t="shared" si="19"/>
        <v>10245.5</v>
      </c>
      <c r="U62" s="488">
        <v>20491</v>
      </c>
    </row>
    <row r="63" spans="1:21" s="492" customFormat="1" ht="19.5" customHeight="1">
      <c r="A63" s="59">
        <v>52</v>
      </c>
      <c r="B63" s="508" t="s">
        <v>404</v>
      </c>
      <c r="C63" s="487">
        <f t="shared" si="11"/>
        <v>10</v>
      </c>
      <c r="D63" s="488">
        <v>10</v>
      </c>
      <c r="E63" s="489">
        <v>0</v>
      </c>
      <c r="F63" s="488">
        <v>13</v>
      </c>
      <c r="G63" s="490">
        <v>194</v>
      </c>
      <c r="H63" s="491">
        <f t="shared" si="13"/>
        <v>91</v>
      </c>
      <c r="I63" s="491">
        <v>30</v>
      </c>
      <c r="J63" s="488">
        <v>61</v>
      </c>
      <c r="K63" s="491">
        <f t="shared" si="14"/>
        <v>90</v>
      </c>
      <c r="L63" s="491">
        <f>(M63/4)*2</f>
        <v>30</v>
      </c>
      <c r="M63" s="488">
        <v>60</v>
      </c>
      <c r="N63" s="491">
        <f t="shared" si="15"/>
        <v>167625</v>
      </c>
      <c r="O63" s="491">
        <f>(P63/4)*2</f>
        <v>55875</v>
      </c>
      <c r="P63" s="488">
        <v>111750</v>
      </c>
      <c r="Q63" s="488">
        <v>395332</v>
      </c>
      <c r="R63" s="488">
        <v>80000</v>
      </c>
      <c r="S63" s="491">
        <f t="shared" si="16"/>
        <v>93499.5</v>
      </c>
      <c r="T63" s="491">
        <f t="shared" si="19"/>
        <v>31166.5</v>
      </c>
      <c r="U63" s="488">
        <v>62333</v>
      </c>
    </row>
    <row r="64" spans="1:21" s="492" customFormat="1" ht="19.5" customHeight="1">
      <c r="A64" s="59">
        <v>53</v>
      </c>
      <c r="B64" s="508" t="s">
        <v>405</v>
      </c>
      <c r="C64" s="487">
        <f t="shared" si="11"/>
        <v>5</v>
      </c>
      <c r="D64" s="488">
        <v>5</v>
      </c>
      <c r="E64" s="489">
        <v>0</v>
      </c>
      <c r="F64" s="488">
        <v>11</v>
      </c>
      <c r="G64" s="490">
        <v>78</v>
      </c>
      <c r="H64" s="491">
        <f t="shared" si="13"/>
        <v>198</v>
      </c>
      <c r="I64" s="488">
        <v>58</v>
      </c>
      <c r="J64" s="488">
        <v>140</v>
      </c>
      <c r="K64" s="491">
        <f t="shared" si="14"/>
        <v>198</v>
      </c>
      <c r="L64" s="488">
        <v>58</v>
      </c>
      <c r="M64" s="488">
        <v>140</v>
      </c>
      <c r="N64" s="491">
        <f t="shared" si="15"/>
        <v>570200</v>
      </c>
      <c r="O64" s="488">
        <v>225000</v>
      </c>
      <c r="P64" s="488">
        <v>345200</v>
      </c>
      <c r="Q64" s="488">
        <v>364657</v>
      </c>
      <c r="R64" s="488">
        <v>0</v>
      </c>
      <c r="S64" s="491">
        <f t="shared" si="16"/>
        <v>83798.4</v>
      </c>
      <c r="T64" s="488">
        <v>30000</v>
      </c>
      <c r="U64" s="488">
        <v>53798.4</v>
      </c>
    </row>
    <row r="65" spans="1:21" s="492" customFormat="1" ht="19.5" customHeight="1">
      <c r="A65" s="59">
        <v>54</v>
      </c>
      <c r="B65" s="508" t="s">
        <v>406</v>
      </c>
      <c r="C65" s="487">
        <f t="shared" si="11"/>
        <v>3</v>
      </c>
      <c r="D65" s="493">
        <v>3</v>
      </c>
      <c r="E65" s="494">
        <v>0</v>
      </c>
      <c r="F65" s="488">
        <v>4</v>
      </c>
      <c r="G65" s="490">
        <v>55</v>
      </c>
      <c r="H65" s="491">
        <f t="shared" si="13"/>
        <v>93</v>
      </c>
      <c r="I65" s="488">
        <v>31</v>
      </c>
      <c r="J65" s="488">
        <v>62</v>
      </c>
      <c r="K65" s="491">
        <f t="shared" si="14"/>
        <v>93</v>
      </c>
      <c r="L65" s="495">
        <f>M65/4*2</f>
        <v>31</v>
      </c>
      <c r="M65" s="488">
        <v>62</v>
      </c>
      <c r="N65" s="491">
        <f t="shared" si="15"/>
        <v>179526</v>
      </c>
      <c r="O65" s="495">
        <f>P65/4*2</f>
        <v>59842</v>
      </c>
      <c r="P65" s="488">
        <v>119684</v>
      </c>
      <c r="Q65" s="488">
        <v>81181</v>
      </c>
      <c r="R65" s="488">
        <v>0</v>
      </c>
      <c r="S65" s="491">
        <f t="shared" si="16"/>
        <v>62079</v>
      </c>
      <c r="T65" s="495">
        <f>U65/4*2</f>
        <v>20693</v>
      </c>
      <c r="U65" s="488">
        <v>41386</v>
      </c>
    </row>
    <row r="66" spans="1:21" s="492" customFormat="1" ht="19.5" customHeight="1">
      <c r="A66" s="59">
        <v>55</v>
      </c>
      <c r="B66" s="508" t="s">
        <v>407</v>
      </c>
      <c r="C66" s="487">
        <f t="shared" si="11"/>
        <v>14</v>
      </c>
      <c r="D66" s="493">
        <v>14</v>
      </c>
      <c r="E66" s="489"/>
      <c r="F66" s="488">
        <v>24</v>
      </c>
      <c r="G66" s="490">
        <v>165</v>
      </c>
      <c r="H66" s="491">
        <f t="shared" si="13"/>
        <v>236</v>
      </c>
      <c r="I66" s="488">
        <v>80</v>
      </c>
      <c r="J66" s="488">
        <v>156</v>
      </c>
      <c r="K66" s="491">
        <f t="shared" si="14"/>
        <v>223.5</v>
      </c>
      <c r="L66" s="491">
        <f>(M66/4)*2</f>
        <v>74.5</v>
      </c>
      <c r="M66" s="488">
        <v>149</v>
      </c>
      <c r="N66" s="491">
        <f t="shared" si="15"/>
        <v>617208</v>
      </c>
      <c r="O66" s="488">
        <v>200000</v>
      </c>
      <c r="P66" s="488">
        <v>417208</v>
      </c>
      <c r="Q66" s="488">
        <v>1871628</v>
      </c>
      <c r="R66" s="488">
        <v>0</v>
      </c>
      <c r="S66" s="491">
        <f t="shared" si="16"/>
        <v>426856</v>
      </c>
      <c r="T66" s="488">
        <v>150000</v>
      </c>
      <c r="U66" s="488">
        <v>276856</v>
      </c>
    </row>
    <row r="67" spans="1:21" s="492" customFormat="1" ht="19.5" customHeight="1">
      <c r="A67" s="59">
        <v>56</v>
      </c>
      <c r="B67" s="508" t="s">
        <v>408</v>
      </c>
      <c r="C67" s="487">
        <f t="shared" si="11"/>
        <v>4</v>
      </c>
      <c r="D67" s="488">
        <v>4</v>
      </c>
      <c r="E67" s="489">
        <v>0</v>
      </c>
      <c r="F67" s="488">
        <v>9</v>
      </c>
      <c r="G67" s="490">
        <v>102</v>
      </c>
      <c r="H67" s="491">
        <f t="shared" si="13"/>
        <v>181.5</v>
      </c>
      <c r="I67" s="491">
        <f>(J67/4)*2</f>
        <v>60.5</v>
      </c>
      <c r="J67" s="488">
        <v>121</v>
      </c>
      <c r="K67" s="491">
        <f t="shared" si="14"/>
        <v>177</v>
      </c>
      <c r="L67" s="491">
        <f>(M67/4)*2</f>
        <v>59</v>
      </c>
      <c r="M67" s="488">
        <v>118</v>
      </c>
      <c r="N67" s="491">
        <f t="shared" si="15"/>
        <v>209175</v>
      </c>
      <c r="O67" s="491">
        <f aca="true" t="shared" si="20" ref="O67:O72">(P67/4)*2</f>
        <v>69725</v>
      </c>
      <c r="P67" s="488">
        <v>139450</v>
      </c>
      <c r="Q67" s="488">
        <v>136344</v>
      </c>
      <c r="R67" s="488">
        <v>0</v>
      </c>
      <c r="S67" s="491">
        <f t="shared" si="16"/>
        <v>2667</v>
      </c>
      <c r="T67" s="491">
        <f>(U67/4)*2</f>
        <v>889</v>
      </c>
      <c r="U67" s="488">
        <v>1778</v>
      </c>
    </row>
    <row r="68" spans="1:21" s="492" customFormat="1" ht="19.5" customHeight="1">
      <c r="A68" s="59">
        <v>57</v>
      </c>
      <c r="B68" s="508" t="s">
        <v>409</v>
      </c>
      <c r="C68" s="487">
        <f t="shared" si="11"/>
        <v>2</v>
      </c>
      <c r="D68" s="488">
        <v>2</v>
      </c>
      <c r="E68" s="489"/>
      <c r="F68" s="488">
        <v>4</v>
      </c>
      <c r="G68" s="490">
        <v>634</v>
      </c>
      <c r="H68" s="491">
        <f t="shared" si="13"/>
        <v>106.5</v>
      </c>
      <c r="I68" s="491">
        <f>(J68/4)*2</f>
        <v>35.5</v>
      </c>
      <c r="J68" s="488">
        <v>71</v>
      </c>
      <c r="K68" s="491">
        <f t="shared" si="14"/>
        <v>106.5</v>
      </c>
      <c r="L68" s="491">
        <f>(M68/4)*2</f>
        <v>35.5</v>
      </c>
      <c r="M68" s="488">
        <v>71</v>
      </c>
      <c r="N68" s="491">
        <f t="shared" si="15"/>
        <v>283725</v>
      </c>
      <c r="O68" s="491">
        <f t="shared" si="20"/>
        <v>94575</v>
      </c>
      <c r="P68" s="488">
        <v>189150</v>
      </c>
      <c r="Q68" s="501">
        <v>165608635</v>
      </c>
      <c r="R68" s="488">
        <v>0</v>
      </c>
      <c r="S68" s="491">
        <f t="shared" si="16"/>
        <v>58743</v>
      </c>
      <c r="T68" s="488">
        <v>19940</v>
      </c>
      <c r="U68" s="488">
        <v>38803</v>
      </c>
    </row>
    <row r="69" spans="1:21" s="492" customFormat="1" ht="19.5" customHeight="1">
      <c r="A69" s="59">
        <v>58</v>
      </c>
      <c r="B69" s="508" t="s">
        <v>410</v>
      </c>
      <c r="C69" s="487">
        <f t="shared" si="11"/>
        <v>70</v>
      </c>
      <c r="D69" s="488">
        <v>46</v>
      </c>
      <c r="E69" s="489">
        <v>24</v>
      </c>
      <c r="F69" s="488">
        <v>68</v>
      </c>
      <c r="G69" s="490">
        <v>976</v>
      </c>
      <c r="H69" s="491">
        <f t="shared" si="13"/>
        <v>822</v>
      </c>
      <c r="I69" s="488">
        <v>159</v>
      </c>
      <c r="J69" s="488">
        <v>663</v>
      </c>
      <c r="K69" s="491">
        <f t="shared" si="14"/>
        <v>730</v>
      </c>
      <c r="L69" s="488">
        <v>140</v>
      </c>
      <c r="M69" s="488">
        <v>590</v>
      </c>
      <c r="N69" s="491">
        <f t="shared" si="15"/>
        <v>4926852</v>
      </c>
      <c r="O69" s="491">
        <f t="shared" si="20"/>
        <v>1642284</v>
      </c>
      <c r="P69" s="488">
        <v>3284568</v>
      </c>
      <c r="Q69" s="488">
        <v>6218073</v>
      </c>
      <c r="R69" s="488">
        <v>269550</v>
      </c>
      <c r="S69" s="491">
        <f t="shared" si="16"/>
        <v>12396720</v>
      </c>
      <c r="T69" s="491">
        <f>(U69/4)*2</f>
        <v>4132240</v>
      </c>
      <c r="U69" s="488">
        <v>8264480</v>
      </c>
    </row>
    <row r="70" spans="1:21" s="492" customFormat="1" ht="19.5" customHeight="1">
      <c r="A70" s="59">
        <v>59</v>
      </c>
      <c r="B70" s="508" t="s">
        <v>411</v>
      </c>
      <c r="C70" s="487">
        <f t="shared" si="11"/>
        <v>4</v>
      </c>
      <c r="D70" s="488">
        <v>3</v>
      </c>
      <c r="E70" s="489">
        <v>1</v>
      </c>
      <c r="F70" s="488">
        <v>4</v>
      </c>
      <c r="G70" s="490">
        <v>52</v>
      </c>
      <c r="H70" s="491">
        <f t="shared" si="13"/>
        <v>31.5</v>
      </c>
      <c r="I70" s="491">
        <f>(J70/4)*2</f>
        <v>10.5</v>
      </c>
      <c r="J70" s="488">
        <v>21</v>
      </c>
      <c r="K70" s="491">
        <f t="shared" si="14"/>
        <v>31.5</v>
      </c>
      <c r="L70" s="491">
        <f>(M70/4)*2</f>
        <v>10.5</v>
      </c>
      <c r="M70" s="488">
        <v>21</v>
      </c>
      <c r="N70" s="491">
        <f t="shared" si="15"/>
        <v>143670</v>
      </c>
      <c r="O70" s="491">
        <f t="shared" si="20"/>
        <v>47890</v>
      </c>
      <c r="P70" s="488">
        <v>95780</v>
      </c>
      <c r="Q70" s="488">
        <v>136333</v>
      </c>
      <c r="R70" s="488">
        <v>0</v>
      </c>
      <c r="S70" s="491">
        <f t="shared" si="16"/>
        <v>90512.655</v>
      </c>
      <c r="T70" s="491">
        <f>(U70/4)*2</f>
        <v>30170.885</v>
      </c>
      <c r="U70" s="488">
        <v>60341.77</v>
      </c>
    </row>
    <row r="71" spans="1:22" s="492" customFormat="1" ht="19.5" customHeight="1">
      <c r="A71" s="59">
        <v>60</v>
      </c>
      <c r="B71" s="508" t="s">
        <v>412</v>
      </c>
      <c r="C71" s="487">
        <f t="shared" si="11"/>
        <v>2</v>
      </c>
      <c r="D71" s="488">
        <v>1</v>
      </c>
      <c r="E71" s="489">
        <v>1</v>
      </c>
      <c r="F71" s="488">
        <v>3</v>
      </c>
      <c r="G71" s="490">
        <v>42</v>
      </c>
      <c r="H71" s="491">
        <f t="shared" si="13"/>
        <v>100.5</v>
      </c>
      <c r="I71" s="491">
        <f>(J71/4)*2</f>
        <v>33.5</v>
      </c>
      <c r="J71" s="488">
        <v>67</v>
      </c>
      <c r="K71" s="491">
        <f t="shared" si="14"/>
        <v>100.5</v>
      </c>
      <c r="L71" s="768">
        <f>(M71/4)*2</f>
        <v>33.5</v>
      </c>
      <c r="M71" s="488">
        <v>67</v>
      </c>
      <c r="N71" s="491">
        <f t="shared" si="15"/>
        <v>35175</v>
      </c>
      <c r="O71" s="495">
        <f t="shared" si="20"/>
        <v>11725</v>
      </c>
      <c r="P71" s="488">
        <v>23450</v>
      </c>
      <c r="Q71" s="488">
        <v>100439</v>
      </c>
      <c r="R71" s="488">
        <v>3964</v>
      </c>
      <c r="S71" s="491">
        <f t="shared" si="16"/>
        <v>48084</v>
      </c>
      <c r="T71" s="491">
        <f>(U71/4)*2</f>
        <v>16028</v>
      </c>
      <c r="U71" s="488">
        <v>32056</v>
      </c>
      <c r="V71" s="492" t="s">
        <v>198</v>
      </c>
    </row>
    <row r="72" spans="1:21" s="492" customFormat="1" ht="19.5" customHeight="1">
      <c r="A72" s="59">
        <v>61</v>
      </c>
      <c r="B72" s="508" t="s">
        <v>413</v>
      </c>
      <c r="C72" s="487">
        <f t="shared" si="11"/>
        <v>5</v>
      </c>
      <c r="D72" s="488">
        <v>4</v>
      </c>
      <c r="E72" s="489">
        <v>1</v>
      </c>
      <c r="F72" s="488">
        <v>15</v>
      </c>
      <c r="G72" s="490">
        <v>177</v>
      </c>
      <c r="H72" s="491">
        <f t="shared" si="13"/>
        <v>213</v>
      </c>
      <c r="I72" s="491">
        <f>(J72/4)*2</f>
        <v>71</v>
      </c>
      <c r="J72" s="488">
        <v>142</v>
      </c>
      <c r="K72" s="491">
        <f t="shared" si="14"/>
        <v>150</v>
      </c>
      <c r="L72" s="491">
        <f>(M72/4)*2</f>
        <v>50</v>
      </c>
      <c r="M72" s="488">
        <v>100</v>
      </c>
      <c r="N72" s="491">
        <f t="shared" si="15"/>
        <v>244021.5</v>
      </c>
      <c r="O72" s="491">
        <f t="shared" si="20"/>
        <v>81340.5</v>
      </c>
      <c r="P72" s="488">
        <v>162681</v>
      </c>
      <c r="Q72" s="501">
        <v>304941126</v>
      </c>
      <c r="R72" s="488">
        <v>0</v>
      </c>
      <c r="S72" s="491">
        <f t="shared" si="16"/>
        <v>63252</v>
      </c>
      <c r="T72" s="491">
        <f>(U72/4)*2</f>
        <v>21084</v>
      </c>
      <c r="U72" s="488">
        <v>42168</v>
      </c>
    </row>
    <row r="73" spans="1:21" s="492" customFormat="1" ht="19.5" customHeight="1">
      <c r="A73" s="59">
        <v>62</v>
      </c>
      <c r="B73" s="508" t="s">
        <v>414</v>
      </c>
      <c r="C73" s="487">
        <f t="shared" si="11"/>
        <v>8</v>
      </c>
      <c r="D73" s="488">
        <v>8</v>
      </c>
      <c r="E73" s="489">
        <v>0</v>
      </c>
      <c r="F73" s="488">
        <v>21</v>
      </c>
      <c r="G73" s="490">
        <v>109</v>
      </c>
      <c r="H73" s="491">
        <f t="shared" si="13"/>
        <v>58.5</v>
      </c>
      <c r="I73" s="491">
        <f>(J73/4)*2</f>
        <v>19.5</v>
      </c>
      <c r="J73" s="488">
        <v>39</v>
      </c>
      <c r="K73" s="491">
        <f t="shared" si="14"/>
        <v>58.5</v>
      </c>
      <c r="L73" s="491">
        <f>(M73/4)*2</f>
        <v>19.5</v>
      </c>
      <c r="M73" s="488">
        <v>39</v>
      </c>
      <c r="N73" s="491">
        <f t="shared" si="15"/>
        <v>120980</v>
      </c>
      <c r="O73" s="488">
        <v>40330</v>
      </c>
      <c r="P73" s="488">
        <v>80650</v>
      </c>
      <c r="Q73" s="488">
        <v>172259</v>
      </c>
      <c r="R73" s="488"/>
      <c r="S73" s="491">
        <f t="shared" si="16"/>
        <v>45960</v>
      </c>
      <c r="T73" s="491">
        <f>(U73/4)*2</f>
        <v>15320</v>
      </c>
      <c r="U73" s="488">
        <v>30640</v>
      </c>
    </row>
    <row r="74" spans="1:21" s="492" customFormat="1" ht="19.5" customHeight="1">
      <c r="A74" s="59">
        <v>63</v>
      </c>
      <c r="B74" s="508" t="s">
        <v>415</v>
      </c>
      <c r="C74" s="487">
        <f t="shared" si="11"/>
        <v>1</v>
      </c>
      <c r="D74" s="488">
        <v>1</v>
      </c>
      <c r="E74" s="489">
        <v>0</v>
      </c>
      <c r="F74" s="488">
        <v>4</v>
      </c>
      <c r="G74" s="490">
        <v>30</v>
      </c>
      <c r="H74" s="491">
        <f t="shared" si="13"/>
        <v>195</v>
      </c>
      <c r="I74" s="488">
        <v>55</v>
      </c>
      <c r="J74" s="488">
        <v>140</v>
      </c>
      <c r="K74" s="491">
        <f t="shared" si="14"/>
        <v>195</v>
      </c>
      <c r="L74" s="488">
        <v>55</v>
      </c>
      <c r="M74" s="488">
        <v>140</v>
      </c>
      <c r="N74" s="491">
        <f t="shared" si="15"/>
        <v>90000</v>
      </c>
      <c r="O74" s="488">
        <v>15000</v>
      </c>
      <c r="P74" s="488">
        <v>75000</v>
      </c>
      <c r="Q74" s="488">
        <v>65340</v>
      </c>
      <c r="R74" s="488">
        <v>0</v>
      </c>
      <c r="S74" s="491">
        <f t="shared" si="16"/>
        <v>19000</v>
      </c>
      <c r="T74" s="488">
        <v>5000</v>
      </c>
      <c r="U74" s="488">
        <v>14000</v>
      </c>
    </row>
    <row r="75" spans="14:21" s="492" customFormat="1" ht="12.75" customHeight="1">
      <c r="N75" s="509"/>
      <c r="O75" s="509"/>
      <c r="P75" s="509"/>
      <c r="Q75" s="509"/>
      <c r="R75" s="509"/>
      <c r="S75" s="510"/>
      <c r="T75" s="510"/>
      <c r="U75" s="510"/>
    </row>
    <row r="76" spans="1:8" s="89" customFormat="1" ht="18" customHeight="1">
      <c r="A76" s="50"/>
      <c r="B76" s="50" t="s">
        <v>342</v>
      </c>
      <c r="C76" s="56" t="s">
        <v>505</v>
      </c>
      <c r="F76" s="50"/>
      <c r="G76" s="88"/>
      <c r="H76" s="88"/>
    </row>
    <row r="77" spans="1:6" s="87" customFormat="1" ht="18" customHeight="1">
      <c r="A77" s="50"/>
      <c r="B77" s="50" t="s">
        <v>343</v>
      </c>
      <c r="C77" s="50" t="s">
        <v>344</v>
      </c>
      <c r="F77" s="50"/>
    </row>
    <row r="78" spans="1:6" s="87" customFormat="1" ht="18" customHeight="1">
      <c r="A78" s="50"/>
      <c r="B78" s="50" t="s">
        <v>345</v>
      </c>
      <c r="C78" s="50" t="s">
        <v>346</v>
      </c>
      <c r="F78" s="50"/>
    </row>
    <row r="79" spans="1:16" s="22" customFormat="1" ht="15.75">
      <c r="A79"/>
      <c r="B79" s="142"/>
      <c r="C79" s="120" t="s">
        <v>493</v>
      </c>
      <c r="F79"/>
      <c r="G79"/>
      <c r="H79"/>
      <c r="I79"/>
      <c r="J79"/>
      <c r="K79"/>
      <c r="L79"/>
      <c r="M79"/>
      <c r="N79"/>
      <c r="O79"/>
      <c r="P79" s="13"/>
    </row>
    <row r="80" spans="1:16" s="22" customFormat="1" ht="15.75">
      <c r="A80"/>
      <c r="B80" s="90"/>
      <c r="C80" s="50" t="s">
        <v>430</v>
      </c>
      <c r="F80"/>
      <c r="G80"/>
      <c r="H80"/>
      <c r="I80"/>
      <c r="J80"/>
      <c r="K80"/>
      <c r="L80"/>
      <c r="M80"/>
      <c r="N80"/>
      <c r="O80"/>
      <c r="P80" s="13"/>
    </row>
    <row r="81" spans="1:16" s="22" customFormat="1" ht="15.75">
      <c r="A81"/>
      <c r="B81" s="91"/>
      <c r="C81" s="50" t="s">
        <v>429</v>
      </c>
      <c r="F81"/>
      <c r="G81"/>
      <c r="H81"/>
      <c r="I81"/>
      <c r="J81"/>
      <c r="K81"/>
      <c r="L81"/>
      <c r="M81"/>
      <c r="N81"/>
      <c r="O81"/>
      <c r="P81" s="13"/>
    </row>
    <row r="82" spans="1:16" s="38" customFormat="1" ht="15.75">
      <c r="A82"/>
      <c r="B82" s="143"/>
      <c r="C82" s="86" t="s">
        <v>495</v>
      </c>
      <c r="F82"/>
      <c r="G82"/>
      <c r="H82"/>
      <c r="I82"/>
      <c r="J82"/>
      <c r="K82"/>
      <c r="L82"/>
      <c r="M82"/>
      <c r="N82"/>
      <c r="O82"/>
      <c r="P82" s="13"/>
    </row>
    <row r="83" spans="2:21" s="492" customFormat="1" ht="12.75" customHeight="1">
      <c r="B83" s="764"/>
      <c r="C83" s="765" t="s">
        <v>132</v>
      </c>
      <c r="N83" s="509"/>
      <c r="O83" s="509"/>
      <c r="P83" s="509"/>
      <c r="Q83" s="509"/>
      <c r="R83" s="509"/>
      <c r="S83" s="510"/>
      <c r="T83" s="510"/>
      <c r="U83" s="510"/>
    </row>
    <row r="84" spans="2:21" s="492" customFormat="1" ht="12.75" customHeight="1">
      <c r="B84" s="25"/>
      <c r="C84" s="765"/>
      <c r="N84" s="509"/>
      <c r="O84" s="509"/>
      <c r="P84" s="509"/>
      <c r="Q84" s="509"/>
      <c r="R84" s="509"/>
      <c r="S84" s="510"/>
      <c r="T84" s="510"/>
      <c r="U84" s="510"/>
    </row>
    <row r="85" spans="2:21" s="492" customFormat="1" ht="12.75" customHeight="1">
      <c r="B85" s="25"/>
      <c r="C85" s="765"/>
      <c r="N85" s="509"/>
      <c r="O85" s="509"/>
      <c r="P85" s="509"/>
      <c r="Q85" s="509"/>
      <c r="R85" s="509"/>
      <c r="S85" s="510"/>
      <c r="T85" s="510"/>
      <c r="U85" s="510"/>
    </row>
    <row r="86" spans="2:21" s="726" customFormat="1" ht="12.75" customHeight="1">
      <c r="B86" s="727" t="s">
        <v>18</v>
      </c>
      <c r="N86" s="728"/>
      <c r="O86" s="728"/>
      <c r="P86" s="728"/>
      <c r="Q86" s="728"/>
      <c r="R86" s="728"/>
      <c r="S86" s="729"/>
      <c r="T86" s="729"/>
      <c r="U86" s="729"/>
    </row>
    <row r="87" spans="2:21" s="726" customFormat="1" ht="12.75" customHeight="1">
      <c r="B87" s="727" t="s">
        <v>352</v>
      </c>
      <c r="N87" s="728"/>
      <c r="O87" s="728"/>
      <c r="P87" s="728"/>
      <c r="Q87" s="728"/>
      <c r="R87" s="728"/>
      <c r="S87" s="729"/>
      <c r="T87" s="729"/>
      <c r="U87" s="729"/>
    </row>
    <row r="88" spans="2:21" s="483" customFormat="1" ht="18" customHeight="1">
      <c r="B88" s="483" t="s">
        <v>200</v>
      </c>
      <c r="N88" s="512"/>
      <c r="O88" s="512"/>
      <c r="P88" s="512"/>
      <c r="Q88" s="512"/>
      <c r="R88" s="512"/>
      <c r="S88" s="511"/>
      <c r="T88" s="511"/>
      <c r="U88" s="511"/>
    </row>
    <row r="89" spans="2:21" s="483" customFormat="1" ht="16.5" customHeight="1">
      <c r="B89" s="483" t="s">
        <v>201</v>
      </c>
      <c r="N89" s="512"/>
      <c r="O89" s="512"/>
      <c r="P89" s="512"/>
      <c r="Q89" s="512"/>
      <c r="R89" s="512"/>
      <c r="S89" s="511"/>
      <c r="T89" s="511"/>
      <c r="U89" s="511"/>
    </row>
    <row r="90" spans="2:21" s="492" customFormat="1" ht="15.75">
      <c r="B90" s="483" t="s">
        <v>202</v>
      </c>
      <c r="N90" s="509"/>
      <c r="O90" s="509"/>
      <c r="P90" s="509"/>
      <c r="Q90" s="509"/>
      <c r="R90" s="509"/>
      <c r="S90" s="510"/>
      <c r="T90" s="510"/>
      <c r="U90" s="510"/>
    </row>
    <row r="91" spans="14:21" s="492" customFormat="1" ht="15">
      <c r="N91" s="509"/>
      <c r="O91" s="509"/>
      <c r="P91" s="509"/>
      <c r="Q91" s="509"/>
      <c r="R91" s="509"/>
      <c r="S91" s="510"/>
      <c r="T91" s="510"/>
      <c r="U91" s="510"/>
    </row>
    <row r="92" spans="5:21" ht="18">
      <c r="E92" s="513"/>
      <c r="F92" s="513"/>
      <c r="G92" s="513"/>
      <c r="H92" s="513"/>
      <c r="I92" s="513"/>
      <c r="J92" s="513"/>
      <c r="K92" s="513"/>
      <c r="L92" s="513"/>
      <c r="M92" s="513"/>
      <c r="N92" s="514"/>
      <c r="O92" s="514"/>
      <c r="P92" s="514"/>
      <c r="Q92" s="514"/>
      <c r="R92" s="514"/>
      <c r="S92" s="515"/>
      <c r="T92" s="515"/>
      <c r="U92" s="515"/>
    </row>
    <row r="93" spans="5:21" ht="18">
      <c r="E93" s="513"/>
      <c r="F93" s="513"/>
      <c r="G93" s="513"/>
      <c r="H93" s="513"/>
      <c r="I93" s="513"/>
      <c r="J93" s="513"/>
      <c r="K93" s="513"/>
      <c r="L93" s="513"/>
      <c r="M93" s="513"/>
      <c r="N93" s="514"/>
      <c r="O93" s="514"/>
      <c r="P93" s="514"/>
      <c r="Q93" s="514"/>
      <c r="R93" s="514"/>
      <c r="S93" s="515"/>
      <c r="T93" s="515"/>
      <c r="U93" s="515"/>
    </row>
    <row r="94" spans="5:21" ht="18">
      <c r="E94" s="513"/>
      <c r="F94" s="513"/>
      <c r="G94" s="513"/>
      <c r="H94" s="513"/>
      <c r="I94" s="513"/>
      <c r="J94" s="513"/>
      <c r="K94" s="513"/>
      <c r="L94" s="513"/>
      <c r="M94" s="513"/>
      <c r="N94" s="514"/>
      <c r="O94" s="514"/>
      <c r="P94" s="514"/>
      <c r="Q94" s="514"/>
      <c r="R94" s="514"/>
      <c r="S94" s="515"/>
      <c r="T94" s="515"/>
      <c r="U94" s="515"/>
    </row>
    <row r="95" spans="5:21" ht="18">
      <c r="E95" s="513"/>
      <c r="F95" s="513"/>
      <c r="G95" s="513"/>
      <c r="H95" s="513"/>
      <c r="I95" s="513"/>
      <c r="J95" s="513"/>
      <c r="K95" s="513"/>
      <c r="L95" s="513"/>
      <c r="M95" s="513"/>
      <c r="N95" s="514"/>
      <c r="O95" s="514"/>
      <c r="P95" s="514"/>
      <c r="Q95" s="514"/>
      <c r="R95" s="514"/>
      <c r="S95" s="515"/>
      <c r="T95" s="515"/>
      <c r="U95" s="515"/>
    </row>
    <row r="96" spans="5:21" ht="18">
      <c r="E96" s="513"/>
      <c r="F96" s="513"/>
      <c r="G96" s="513"/>
      <c r="H96" s="513"/>
      <c r="I96" s="513"/>
      <c r="J96" s="513"/>
      <c r="K96" s="513"/>
      <c r="L96" s="513"/>
      <c r="M96" s="513"/>
      <c r="N96" s="514"/>
      <c r="O96" s="514"/>
      <c r="P96" s="514"/>
      <c r="Q96" s="514"/>
      <c r="R96" s="514"/>
      <c r="S96" s="515"/>
      <c r="T96" s="515"/>
      <c r="U96" s="515"/>
    </row>
    <row r="97" spans="5:21" ht="18">
      <c r="E97" s="513"/>
      <c r="F97" s="513"/>
      <c r="G97" s="513"/>
      <c r="H97" s="513"/>
      <c r="I97" s="513"/>
      <c r="J97" s="513"/>
      <c r="K97" s="513"/>
      <c r="L97" s="513"/>
      <c r="M97" s="513"/>
      <c r="N97" s="514"/>
      <c r="O97" s="514"/>
      <c r="P97" s="514"/>
      <c r="Q97" s="514"/>
      <c r="R97" s="514"/>
      <c r="S97" s="515"/>
      <c r="T97" s="515"/>
      <c r="U97" s="515"/>
    </row>
    <row r="98" spans="5:21" ht="18">
      <c r="E98" s="513"/>
      <c r="F98" s="513"/>
      <c r="G98" s="513"/>
      <c r="H98" s="513"/>
      <c r="I98" s="513"/>
      <c r="J98" s="513"/>
      <c r="K98" s="513"/>
      <c r="L98" s="513"/>
      <c r="M98" s="513"/>
      <c r="N98" s="514"/>
      <c r="O98" s="514"/>
      <c r="P98" s="514"/>
      <c r="Q98" s="514"/>
      <c r="R98" s="514"/>
      <c r="S98" s="515"/>
      <c r="T98" s="515"/>
      <c r="U98" s="515"/>
    </row>
    <row r="99" spans="5:21" ht="18">
      <c r="E99" s="513"/>
      <c r="F99" s="513"/>
      <c r="G99" s="513"/>
      <c r="H99" s="513"/>
      <c r="I99" s="513"/>
      <c r="J99" s="513"/>
      <c r="K99" s="513"/>
      <c r="L99" s="513"/>
      <c r="M99" s="513"/>
      <c r="N99" s="514"/>
      <c r="O99" s="514"/>
      <c r="P99" s="514"/>
      <c r="Q99" s="514"/>
      <c r="R99" s="514"/>
      <c r="S99" s="515"/>
      <c r="T99" s="515"/>
      <c r="U99" s="515"/>
    </row>
    <row r="100" spans="5:21" ht="18">
      <c r="E100" s="513"/>
      <c r="F100" s="513"/>
      <c r="G100" s="513"/>
      <c r="H100" s="513"/>
      <c r="I100" s="513"/>
      <c r="J100" s="513"/>
      <c r="K100" s="513"/>
      <c r="L100" s="513"/>
      <c r="M100" s="513"/>
      <c r="N100" s="514"/>
      <c r="O100" s="514"/>
      <c r="P100" s="514"/>
      <c r="Q100" s="514"/>
      <c r="R100" s="514"/>
      <c r="S100" s="515"/>
      <c r="T100" s="515"/>
      <c r="U100" s="515"/>
    </row>
    <row r="101" spans="5:21" ht="18">
      <c r="E101" s="513"/>
      <c r="F101" s="513"/>
      <c r="G101" s="513"/>
      <c r="H101" s="513"/>
      <c r="I101" s="513"/>
      <c r="J101" s="513"/>
      <c r="K101" s="513"/>
      <c r="L101" s="513"/>
      <c r="M101" s="513"/>
      <c r="N101" s="514"/>
      <c r="O101" s="514"/>
      <c r="P101" s="514"/>
      <c r="Q101" s="514"/>
      <c r="R101" s="514"/>
      <c r="S101" s="515"/>
      <c r="T101" s="515"/>
      <c r="U101" s="515"/>
    </row>
    <row r="102" spans="5:21" ht="18">
      <c r="E102" s="513"/>
      <c r="F102" s="513"/>
      <c r="G102" s="513"/>
      <c r="H102" s="513"/>
      <c r="I102" s="513"/>
      <c r="J102" s="513"/>
      <c r="K102" s="513"/>
      <c r="L102" s="513"/>
      <c r="M102" s="513"/>
      <c r="N102" s="514"/>
      <c r="O102" s="514"/>
      <c r="P102" s="514"/>
      <c r="Q102" s="514"/>
      <c r="R102" s="514"/>
      <c r="S102" s="515"/>
      <c r="T102" s="515"/>
      <c r="U102" s="515"/>
    </row>
    <row r="103" spans="5:21" ht="18">
      <c r="E103" s="513"/>
      <c r="F103" s="513"/>
      <c r="G103" s="513"/>
      <c r="H103" s="513"/>
      <c r="I103" s="513"/>
      <c r="J103" s="513"/>
      <c r="K103" s="513"/>
      <c r="L103" s="513"/>
      <c r="M103" s="513"/>
      <c r="N103" s="514"/>
      <c r="O103" s="514"/>
      <c r="P103" s="514"/>
      <c r="Q103" s="514"/>
      <c r="R103" s="514"/>
      <c r="S103" s="515"/>
      <c r="T103" s="515"/>
      <c r="U103" s="515"/>
    </row>
    <row r="104" spans="5:21" ht="18">
      <c r="E104" s="513"/>
      <c r="F104" s="513"/>
      <c r="G104" s="513"/>
      <c r="H104" s="513"/>
      <c r="I104" s="513"/>
      <c r="J104" s="513"/>
      <c r="K104" s="513"/>
      <c r="L104" s="513"/>
      <c r="M104" s="513"/>
      <c r="N104" s="514"/>
      <c r="O104" s="514"/>
      <c r="P104" s="514"/>
      <c r="Q104" s="514"/>
      <c r="R104" s="514"/>
      <c r="S104" s="515"/>
      <c r="T104" s="515"/>
      <c r="U104" s="515"/>
    </row>
    <row r="105" spans="5:21" ht="18">
      <c r="E105" s="513"/>
      <c r="F105" s="513"/>
      <c r="G105" s="513"/>
      <c r="H105" s="513"/>
      <c r="I105" s="513"/>
      <c r="J105" s="513"/>
      <c r="K105" s="513"/>
      <c r="L105" s="513"/>
      <c r="M105" s="513"/>
      <c r="N105" s="514"/>
      <c r="O105" s="514"/>
      <c r="P105" s="514"/>
      <c r="Q105" s="514"/>
      <c r="R105" s="514"/>
      <c r="S105" s="515"/>
      <c r="T105" s="515"/>
      <c r="U105" s="515"/>
    </row>
    <row r="106" spans="5:21" ht="18">
      <c r="E106" s="513"/>
      <c r="F106" s="513"/>
      <c r="G106" s="513"/>
      <c r="H106" s="513"/>
      <c r="I106" s="513"/>
      <c r="J106" s="513"/>
      <c r="K106" s="513"/>
      <c r="L106" s="513"/>
      <c r="M106" s="513"/>
      <c r="N106" s="514"/>
      <c r="O106" s="514"/>
      <c r="P106" s="514"/>
      <c r="Q106" s="514"/>
      <c r="R106" s="514"/>
      <c r="S106" s="515"/>
      <c r="T106" s="515"/>
      <c r="U106" s="515"/>
    </row>
    <row r="107" spans="5:21" ht="18">
      <c r="E107" s="513"/>
      <c r="F107" s="513"/>
      <c r="G107" s="513"/>
      <c r="H107" s="513"/>
      <c r="I107" s="513"/>
      <c r="J107" s="513"/>
      <c r="K107" s="513"/>
      <c r="L107" s="513"/>
      <c r="M107" s="513"/>
      <c r="N107" s="514"/>
      <c r="O107" s="514"/>
      <c r="P107" s="514"/>
      <c r="Q107" s="514"/>
      <c r="R107" s="514"/>
      <c r="S107" s="515"/>
      <c r="T107" s="515"/>
      <c r="U107" s="515"/>
    </row>
    <row r="108" spans="5:21" ht="18">
      <c r="E108" s="513"/>
      <c r="F108" s="513"/>
      <c r="G108" s="513"/>
      <c r="H108" s="513"/>
      <c r="I108" s="513"/>
      <c r="J108" s="513"/>
      <c r="K108" s="513"/>
      <c r="L108" s="513"/>
      <c r="M108" s="513"/>
      <c r="N108" s="514"/>
      <c r="O108" s="514"/>
      <c r="P108" s="514"/>
      <c r="Q108" s="514"/>
      <c r="R108" s="514"/>
      <c r="S108" s="515"/>
      <c r="T108" s="515"/>
      <c r="U108" s="515"/>
    </row>
    <row r="109" spans="5:21" ht="18">
      <c r="E109" s="513"/>
      <c r="F109" s="513"/>
      <c r="G109" s="513"/>
      <c r="H109" s="513"/>
      <c r="I109" s="513"/>
      <c r="J109" s="513"/>
      <c r="K109" s="513"/>
      <c r="L109" s="513"/>
      <c r="M109" s="513"/>
      <c r="N109" s="514"/>
      <c r="O109" s="514"/>
      <c r="P109" s="514"/>
      <c r="Q109" s="514"/>
      <c r="R109" s="514"/>
      <c r="S109" s="515"/>
      <c r="T109" s="515"/>
      <c r="U109" s="515"/>
    </row>
    <row r="110" spans="5:21" ht="18">
      <c r="E110" s="513"/>
      <c r="F110" s="513"/>
      <c r="G110" s="513"/>
      <c r="H110" s="513"/>
      <c r="I110" s="513"/>
      <c r="J110" s="513"/>
      <c r="K110" s="513"/>
      <c r="L110" s="513"/>
      <c r="M110" s="513"/>
      <c r="N110" s="514"/>
      <c r="O110" s="514"/>
      <c r="P110" s="514"/>
      <c r="Q110" s="514"/>
      <c r="R110" s="514"/>
      <c r="S110" s="515"/>
      <c r="T110" s="515"/>
      <c r="U110" s="515"/>
    </row>
    <row r="111" spans="5:21" ht="18">
      <c r="E111" s="513"/>
      <c r="F111" s="513"/>
      <c r="G111" s="513"/>
      <c r="H111" s="513"/>
      <c r="I111" s="513"/>
      <c r="J111" s="513"/>
      <c r="K111" s="513"/>
      <c r="L111" s="513"/>
      <c r="M111" s="513"/>
      <c r="N111" s="514"/>
      <c r="O111" s="514"/>
      <c r="P111" s="514"/>
      <c r="Q111" s="514"/>
      <c r="R111" s="514"/>
      <c r="S111" s="515"/>
      <c r="T111" s="515"/>
      <c r="U111" s="515"/>
    </row>
    <row r="112" spans="5:21" ht="18">
      <c r="E112" s="513"/>
      <c r="F112" s="513"/>
      <c r="G112" s="513"/>
      <c r="H112" s="513"/>
      <c r="I112" s="513"/>
      <c r="J112" s="513"/>
      <c r="K112" s="513"/>
      <c r="L112" s="513"/>
      <c r="M112" s="513"/>
      <c r="N112" s="514"/>
      <c r="O112" s="514"/>
      <c r="P112" s="514"/>
      <c r="Q112" s="514"/>
      <c r="R112" s="514"/>
      <c r="S112" s="515"/>
      <c r="T112" s="515"/>
      <c r="U112" s="515"/>
    </row>
    <row r="113" spans="5:21" ht="18">
      <c r="E113" s="513"/>
      <c r="F113" s="513"/>
      <c r="G113" s="513"/>
      <c r="H113" s="513"/>
      <c r="I113" s="513"/>
      <c r="J113" s="513"/>
      <c r="K113" s="513"/>
      <c r="L113" s="513"/>
      <c r="M113" s="513"/>
      <c r="N113" s="514"/>
      <c r="O113" s="514"/>
      <c r="P113" s="514"/>
      <c r="Q113" s="514"/>
      <c r="R113" s="514"/>
      <c r="S113" s="515"/>
      <c r="T113" s="515"/>
      <c r="U113" s="515"/>
    </row>
    <row r="114" spans="5:21" ht="18">
      <c r="E114" s="513"/>
      <c r="F114" s="513"/>
      <c r="G114" s="513"/>
      <c r="H114" s="513"/>
      <c r="I114" s="513"/>
      <c r="J114" s="513"/>
      <c r="K114" s="513"/>
      <c r="L114" s="513"/>
      <c r="M114" s="513"/>
      <c r="N114" s="514"/>
      <c r="O114" s="514"/>
      <c r="P114" s="514"/>
      <c r="Q114" s="514"/>
      <c r="R114" s="514"/>
      <c r="S114" s="515"/>
      <c r="T114" s="515"/>
      <c r="U114" s="515"/>
    </row>
    <row r="115" spans="5:21" ht="18">
      <c r="E115" s="513"/>
      <c r="F115" s="513"/>
      <c r="G115" s="513"/>
      <c r="H115" s="513"/>
      <c r="I115" s="513"/>
      <c r="J115" s="513"/>
      <c r="K115" s="513"/>
      <c r="L115" s="513"/>
      <c r="M115" s="513"/>
      <c r="N115" s="514"/>
      <c r="O115" s="514"/>
      <c r="P115" s="514"/>
      <c r="Q115" s="514"/>
      <c r="R115" s="514"/>
      <c r="S115" s="515"/>
      <c r="T115" s="515"/>
      <c r="U115" s="515"/>
    </row>
    <row r="116" spans="5:21" ht="18">
      <c r="E116" s="513"/>
      <c r="F116" s="513"/>
      <c r="G116" s="513"/>
      <c r="H116" s="513"/>
      <c r="I116" s="513"/>
      <c r="J116" s="513"/>
      <c r="K116" s="513"/>
      <c r="L116" s="513"/>
      <c r="M116" s="513"/>
      <c r="N116" s="514"/>
      <c r="O116" s="514"/>
      <c r="P116" s="514"/>
      <c r="Q116" s="514"/>
      <c r="R116" s="514"/>
      <c r="S116" s="515"/>
      <c r="T116" s="515"/>
      <c r="U116" s="515"/>
    </row>
  </sheetData>
  <sheetProtection/>
  <mergeCells count="29">
    <mergeCell ref="A1:B1"/>
    <mergeCell ref="A2:U2"/>
    <mergeCell ref="A3:U3"/>
    <mergeCell ref="A4:U4"/>
    <mergeCell ref="O8:P8"/>
    <mergeCell ref="A6:B9"/>
    <mergeCell ref="C6:E6"/>
    <mergeCell ref="F6:F9"/>
    <mergeCell ref="G6:G9"/>
    <mergeCell ref="A11:B11"/>
    <mergeCell ref="I8:J8"/>
    <mergeCell ref="K8:K9"/>
    <mergeCell ref="L8:M8"/>
    <mergeCell ref="C7:C9"/>
    <mergeCell ref="D7:E7"/>
    <mergeCell ref="H7:J7"/>
    <mergeCell ref="K7:M7"/>
    <mergeCell ref="D8:D9"/>
    <mergeCell ref="E8:E9"/>
    <mergeCell ref="S8:S9"/>
    <mergeCell ref="Q6:Q9"/>
    <mergeCell ref="A10:B10"/>
    <mergeCell ref="N8:N9"/>
    <mergeCell ref="S6:U7"/>
    <mergeCell ref="H8:H9"/>
    <mergeCell ref="H6:M6"/>
    <mergeCell ref="T8:U8"/>
    <mergeCell ref="N6:P7"/>
    <mergeCell ref="R6:R9"/>
  </mergeCells>
  <printOptions/>
  <pageMargins left="0.25" right="0.25" top="0.25" bottom="0.25" header="0" footer="0"/>
  <pageSetup horizontalDpi="600" verticalDpi="600" orientation="landscape" paperSize="9" scale="60" r:id="rId2"/>
  <drawing r:id="rId1"/>
</worksheet>
</file>

<file path=xl/worksheets/sheet21.xml><?xml version="1.0" encoding="utf-8"?>
<worksheet xmlns="http://schemas.openxmlformats.org/spreadsheetml/2006/main" xmlns:r="http://schemas.openxmlformats.org/officeDocument/2006/relationships">
  <sheetPr>
    <tabColor rgb="FFFFFF00"/>
  </sheetPr>
  <dimension ref="A1:P26"/>
  <sheetViews>
    <sheetView zoomScalePageLayoutView="0" workbookViewId="0" topLeftCell="A7">
      <selection activeCell="H25" sqref="H25"/>
    </sheetView>
  </sheetViews>
  <sheetFormatPr defaultColWidth="9.140625" defaultRowHeight="12.75"/>
  <cols>
    <col min="1" max="1" width="5.140625" style="0" customWidth="1"/>
    <col min="2" max="2" width="22.140625" style="0" customWidth="1"/>
    <col min="3" max="3" width="13.7109375" style="0" customWidth="1"/>
    <col min="4" max="4" width="12.140625" style="0" customWidth="1"/>
    <col min="5" max="5" width="9.7109375" style="0" customWidth="1"/>
    <col min="6" max="6" width="11.7109375" style="0" customWidth="1"/>
    <col min="7" max="7" width="12.140625" style="0" customWidth="1"/>
    <col min="8" max="8" width="17.421875" style="0" customWidth="1"/>
    <col min="9" max="9" width="12.28125" style="0" customWidth="1"/>
    <col min="10" max="10" width="12.57421875" style="0" customWidth="1"/>
    <col min="11" max="11" width="16.8515625" style="0" customWidth="1"/>
  </cols>
  <sheetData>
    <row r="1" ht="16.5">
      <c r="A1" s="215" t="s">
        <v>318</v>
      </c>
    </row>
    <row r="2" ht="12.75">
      <c r="D2" t="s">
        <v>49</v>
      </c>
    </row>
    <row r="3" spans="1:11" ht="18.75">
      <c r="A3" s="1016" t="s">
        <v>50</v>
      </c>
      <c r="B3" s="1016"/>
      <c r="C3" s="1016"/>
      <c r="D3" s="1016"/>
      <c r="E3" s="1016"/>
      <c r="F3" s="1016"/>
      <c r="G3" s="1016"/>
      <c r="H3" s="1016"/>
      <c r="I3" s="1016"/>
      <c r="J3" s="1016"/>
      <c r="K3" s="1016"/>
    </row>
    <row r="4" spans="1:11" ht="30" customHeight="1">
      <c r="A4" s="1016" t="s">
        <v>51</v>
      </c>
      <c r="B4" s="1016"/>
      <c r="C4" s="1016"/>
      <c r="D4" s="1016"/>
      <c r="E4" s="1016"/>
      <c r="F4" s="1016"/>
      <c r="G4" s="1016"/>
      <c r="H4" s="1016"/>
      <c r="I4" s="1016"/>
      <c r="J4" s="1016"/>
      <c r="K4" s="1016"/>
    </row>
    <row r="5" spans="1:11" ht="18.75">
      <c r="A5" s="1016" t="s">
        <v>319</v>
      </c>
      <c r="B5" s="1016"/>
      <c r="C5" s="1016"/>
      <c r="D5" s="1016"/>
      <c r="E5" s="1016"/>
      <c r="F5" s="1016"/>
      <c r="G5" s="1016"/>
      <c r="H5" s="1016"/>
      <c r="I5" s="1016"/>
      <c r="J5" s="1016"/>
      <c r="K5" s="1016"/>
    </row>
    <row r="6" spans="1:11" ht="15.75">
      <c r="A6" s="354"/>
      <c r="B6" s="354"/>
      <c r="C6" s="354"/>
      <c r="D6" s="354"/>
      <c r="E6" s="354"/>
      <c r="F6" s="354"/>
      <c r="G6" s="354"/>
      <c r="H6" s="354"/>
      <c r="I6" s="354"/>
      <c r="J6" s="354"/>
      <c r="K6" s="354"/>
    </row>
    <row r="7" spans="1:11" ht="15.75">
      <c r="A7" s="355"/>
      <c r="B7" s="355"/>
      <c r="C7" s="355"/>
      <c r="D7" s="355"/>
      <c r="E7" s="355"/>
      <c r="F7" s="355"/>
      <c r="G7" s="355"/>
      <c r="H7" s="355"/>
      <c r="I7" s="355"/>
      <c r="J7" s="355"/>
      <c r="K7" s="356" t="s">
        <v>52</v>
      </c>
    </row>
    <row r="8" spans="1:11" ht="18.75" customHeight="1">
      <c r="A8" s="1030" t="s">
        <v>53</v>
      </c>
      <c r="B8" s="1030"/>
      <c r="C8" s="1030" t="s">
        <v>511</v>
      </c>
      <c r="D8" s="1267" t="s">
        <v>321</v>
      </c>
      <c r="E8" s="1267"/>
      <c r="F8" s="1267"/>
      <c r="G8" s="1267"/>
      <c r="H8" s="1267"/>
      <c r="I8" s="1267"/>
      <c r="J8" s="1267"/>
      <c r="K8" s="1267"/>
    </row>
    <row r="9" spans="1:11" ht="19.5" customHeight="1">
      <c r="A9" s="1030"/>
      <c r="B9" s="1030"/>
      <c r="C9" s="1030"/>
      <c r="D9" s="1030" t="s">
        <v>333</v>
      </c>
      <c r="E9" s="1268" t="s">
        <v>320</v>
      </c>
      <c r="F9" s="1268"/>
      <c r="G9" s="1268"/>
      <c r="H9" s="1268"/>
      <c r="I9" s="1268"/>
      <c r="J9" s="1268"/>
      <c r="K9" s="1268"/>
    </row>
    <row r="10" spans="1:11" ht="25.5" customHeight="1">
      <c r="A10" s="1030"/>
      <c r="B10" s="1030"/>
      <c r="C10" s="1030"/>
      <c r="D10" s="1030"/>
      <c r="E10" s="915" t="s">
        <v>322</v>
      </c>
      <c r="F10" s="915" t="s">
        <v>54</v>
      </c>
      <c r="G10" s="1266"/>
      <c r="H10" s="1266"/>
      <c r="I10" s="1266"/>
      <c r="J10" s="1266"/>
      <c r="K10" s="1266"/>
    </row>
    <row r="11" spans="1:11" ht="37.5" customHeight="1">
      <c r="A11" s="1030"/>
      <c r="B11" s="1030"/>
      <c r="C11" s="1030"/>
      <c r="D11" s="1030"/>
      <c r="E11" s="1266"/>
      <c r="F11" s="915" t="s">
        <v>55</v>
      </c>
      <c r="G11" s="1266"/>
      <c r="H11" s="1266"/>
      <c r="I11" s="915" t="s">
        <v>56</v>
      </c>
      <c r="J11" s="1266"/>
      <c r="K11" s="1266"/>
    </row>
    <row r="12" spans="1:11" ht="12.75" customHeight="1">
      <c r="A12" s="1030"/>
      <c r="B12" s="1030"/>
      <c r="C12" s="1030"/>
      <c r="D12" s="1030"/>
      <c r="E12" s="1266"/>
      <c r="F12" s="915" t="s">
        <v>322</v>
      </c>
      <c r="G12" s="915" t="s">
        <v>321</v>
      </c>
      <c r="H12" s="1266"/>
      <c r="I12" s="915" t="s">
        <v>322</v>
      </c>
      <c r="J12" s="915" t="s">
        <v>321</v>
      </c>
      <c r="K12" s="1266"/>
    </row>
    <row r="13" spans="1:11" ht="9.75" customHeight="1">
      <c r="A13" s="1030"/>
      <c r="B13" s="1030"/>
      <c r="C13" s="1030"/>
      <c r="D13" s="1030"/>
      <c r="E13" s="1266"/>
      <c r="F13" s="1266"/>
      <c r="G13" s="1266"/>
      <c r="H13" s="1266"/>
      <c r="I13" s="1266"/>
      <c r="J13" s="1266"/>
      <c r="K13" s="1266"/>
    </row>
    <row r="14" spans="1:11" ht="39" customHeight="1">
      <c r="A14" s="1030"/>
      <c r="B14" s="1030"/>
      <c r="C14" s="1030"/>
      <c r="D14" s="1030"/>
      <c r="E14" s="1266"/>
      <c r="F14" s="1266"/>
      <c r="G14" s="157" t="s">
        <v>57</v>
      </c>
      <c r="H14" s="157" t="s">
        <v>58</v>
      </c>
      <c r="I14" s="1266"/>
      <c r="J14" s="157" t="s">
        <v>57</v>
      </c>
      <c r="K14" s="157" t="s">
        <v>58</v>
      </c>
    </row>
    <row r="15" spans="1:11" ht="15.75">
      <c r="A15" s="1264" t="s">
        <v>323</v>
      </c>
      <c r="B15" s="1264"/>
      <c r="C15" s="358">
        <v>1</v>
      </c>
      <c r="D15" s="358">
        <v>2</v>
      </c>
      <c r="E15" s="358">
        <v>3</v>
      </c>
      <c r="F15" s="358">
        <v>4</v>
      </c>
      <c r="G15" s="358">
        <v>5</v>
      </c>
      <c r="H15" s="358">
        <v>6</v>
      </c>
      <c r="I15" s="358">
        <v>7</v>
      </c>
      <c r="J15" s="358">
        <v>8</v>
      </c>
      <c r="K15" s="358">
        <v>9</v>
      </c>
    </row>
    <row r="16" spans="1:11" ht="21.75" customHeight="1">
      <c r="A16" s="1265" t="s">
        <v>322</v>
      </c>
      <c r="B16" s="1265"/>
      <c r="C16" s="359">
        <f aca="true" t="shared" si="0" ref="C16:K16">C17+C18</f>
        <v>2784</v>
      </c>
      <c r="D16" s="359">
        <f t="shared" si="0"/>
        <v>928</v>
      </c>
      <c r="E16" s="359">
        <f t="shared" si="0"/>
        <v>1856</v>
      </c>
      <c r="F16" s="359">
        <f t="shared" si="0"/>
        <v>636</v>
      </c>
      <c r="G16" s="359">
        <f t="shared" si="0"/>
        <v>183</v>
      </c>
      <c r="H16" s="359">
        <f t="shared" si="0"/>
        <v>453</v>
      </c>
      <c r="I16" s="359">
        <f t="shared" si="0"/>
        <v>1220</v>
      </c>
      <c r="J16" s="359">
        <f t="shared" si="0"/>
        <v>17</v>
      </c>
      <c r="K16" s="359">
        <f t="shared" si="0"/>
        <v>1203</v>
      </c>
    </row>
    <row r="17" spans="1:11" ht="42" customHeight="1">
      <c r="A17" s="357">
        <v>1</v>
      </c>
      <c r="B17" s="360" t="s">
        <v>59</v>
      </c>
      <c r="C17" s="361">
        <f>D17+E17</f>
        <v>2074.5</v>
      </c>
      <c r="D17" s="362">
        <f>(E17/4)*2</f>
        <v>691.5</v>
      </c>
      <c r="E17" s="363">
        <f>F17+I17</f>
        <v>1383</v>
      </c>
      <c r="F17" s="363">
        <f>G17+H17</f>
        <v>201</v>
      </c>
      <c r="G17" s="357">
        <v>89</v>
      </c>
      <c r="H17" s="357">
        <v>112</v>
      </c>
      <c r="I17" s="363">
        <f>J17+K17</f>
        <v>1182</v>
      </c>
      <c r="J17" s="357">
        <v>7</v>
      </c>
      <c r="K17" s="357">
        <v>1175</v>
      </c>
    </row>
    <row r="18" spans="1:11" ht="42" customHeight="1">
      <c r="A18" s="357">
        <v>2</v>
      </c>
      <c r="B18" s="360" t="s">
        <v>60</v>
      </c>
      <c r="C18" s="361">
        <f>D18+E18</f>
        <v>709.5</v>
      </c>
      <c r="D18" s="362">
        <f>(E18/4)*2</f>
        <v>236.5</v>
      </c>
      <c r="E18" s="363">
        <f>F18+I18</f>
        <v>473</v>
      </c>
      <c r="F18" s="363">
        <f>G18+H18</f>
        <v>435</v>
      </c>
      <c r="G18" s="357">
        <v>94</v>
      </c>
      <c r="H18" s="357">
        <v>341</v>
      </c>
      <c r="I18" s="363">
        <f>J18+K18</f>
        <v>38</v>
      </c>
      <c r="J18" s="357">
        <v>10</v>
      </c>
      <c r="K18" s="357">
        <v>28</v>
      </c>
    </row>
    <row r="20" spans="1:8" s="89" customFormat="1" ht="18" customHeight="1">
      <c r="A20" s="50"/>
      <c r="B20" s="50" t="s">
        <v>342</v>
      </c>
      <c r="C20" s="56" t="s">
        <v>505</v>
      </c>
      <c r="F20" s="50"/>
      <c r="G20" s="88"/>
      <c r="H20" s="88"/>
    </row>
    <row r="21" spans="1:6" s="87" customFormat="1" ht="18" customHeight="1">
      <c r="A21" s="50"/>
      <c r="B21" s="50" t="s">
        <v>343</v>
      </c>
      <c r="C21" s="50" t="s">
        <v>344</v>
      </c>
      <c r="F21" s="50"/>
    </row>
    <row r="22" spans="1:6" s="87" customFormat="1" ht="18" customHeight="1">
      <c r="A22" s="50"/>
      <c r="B22" s="50" t="s">
        <v>345</v>
      </c>
      <c r="C22" s="50" t="s">
        <v>346</v>
      </c>
      <c r="F22" s="50"/>
    </row>
    <row r="23" spans="1:16" s="22" customFormat="1" ht="15.75">
      <c r="A23"/>
      <c r="B23" s="142"/>
      <c r="C23" s="120" t="s">
        <v>493</v>
      </c>
      <c r="F23"/>
      <c r="G23"/>
      <c r="H23"/>
      <c r="I23"/>
      <c r="J23"/>
      <c r="K23"/>
      <c r="L23"/>
      <c r="M23"/>
      <c r="N23"/>
      <c r="O23"/>
      <c r="P23" s="13"/>
    </row>
    <row r="24" spans="1:16" s="22" customFormat="1" ht="15.75">
      <c r="A24"/>
      <c r="B24" s="90"/>
      <c r="C24" s="50" t="s">
        <v>430</v>
      </c>
      <c r="F24"/>
      <c r="G24"/>
      <c r="H24"/>
      <c r="I24"/>
      <c r="J24"/>
      <c r="K24"/>
      <c r="L24"/>
      <c r="M24"/>
      <c r="N24"/>
      <c r="O24"/>
      <c r="P24" s="13"/>
    </row>
    <row r="25" spans="1:16" s="22" customFormat="1" ht="15.75">
      <c r="A25"/>
      <c r="B25" s="91"/>
      <c r="C25" s="50" t="s">
        <v>429</v>
      </c>
      <c r="F25"/>
      <c r="G25"/>
      <c r="H25"/>
      <c r="I25"/>
      <c r="J25"/>
      <c r="K25"/>
      <c r="L25"/>
      <c r="M25"/>
      <c r="N25"/>
      <c r="O25"/>
      <c r="P25" s="13"/>
    </row>
    <row r="26" spans="1:16" s="38" customFormat="1" ht="15.75">
      <c r="A26"/>
      <c r="B26" s="143"/>
      <c r="C26" s="86" t="s">
        <v>495</v>
      </c>
      <c r="F26"/>
      <c r="G26"/>
      <c r="H26"/>
      <c r="I26"/>
      <c r="J26"/>
      <c r="K26"/>
      <c r="L26"/>
      <c r="M26"/>
      <c r="N26"/>
      <c r="O26"/>
      <c r="P26" s="13"/>
    </row>
  </sheetData>
  <sheetProtection/>
  <mergeCells count="18">
    <mergeCell ref="A3:K3"/>
    <mergeCell ref="A4:K4"/>
    <mergeCell ref="A5:K5"/>
    <mergeCell ref="A8:B14"/>
    <mergeCell ref="C8:C14"/>
    <mergeCell ref="D8:K8"/>
    <mergeCell ref="D9:D14"/>
    <mergeCell ref="E9:K9"/>
    <mergeCell ref="E10:E14"/>
    <mergeCell ref="F10:K10"/>
    <mergeCell ref="A15:B15"/>
    <mergeCell ref="A16:B16"/>
    <mergeCell ref="F11:H11"/>
    <mergeCell ref="I11:K11"/>
    <mergeCell ref="F12:F14"/>
    <mergeCell ref="G12:H13"/>
    <mergeCell ref="I12:I14"/>
    <mergeCell ref="J12:K13"/>
  </mergeCells>
  <printOptions/>
  <pageMargins left="0.5" right="0.25" top="0.25" bottom="0.25" header="0.3" footer="0.3"/>
  <pageSetup horizontalDpi="600" verticalDpi="600" orientation="landscape" paperSize="9" scale="95" r:id="rId2"/>
  <drawing r:id="rId1"/>
</worksheet>
</file>

<file path=xl/worksheets/sheet3.xml><?xml version="1.0" encoding="utf-8"?>
<worksheet xmlns="http://schemas.openxmlformats.org/spreadsheetml/2006/main" xmlns:r="http://schemas.openxmlformats.org/officeDocument/2006/relationships">
  <sheetPr>
    <tabColor theme="2" tint="-0.7499799728393555"/>
  </sheetPr>
  <dimension ref="A1:BJ222"/>
  <sheetViews>
    <sheetView zoomScale="85" zoomScaleNormal="85" zoomScaleSheetLayoutView="100" zoomScalePageLayoutView="0" workbookViewId="0" topLeftCell="A1">
      <pane ySplit="8550" topLeftCell="A15" activePane="bottomLeft" state="split"/>
      <selection pane="topLeft" activeCell="E11" sqref="E11:E12"/>
      <selection pane="bottomLeft" activeCell="C102" sqref="C102"/>
    </sheetView>
  </sheetViews>
  <sheetFormatPr defaultColWidth="9.140625" defaultRowHeight="12.75"/>
  <cols>
    <col min="1" max="1" width="4.57421875" style="24" customWidth="1"/>
    <col min="2" max="2" width="22.140625" style="25" customWidth="1"/>
    <col min="3" max="3" width="10.8515625" style="41" customWidth="1"/>
    <col min="4" max="4" width="9.421875" style="41" customWidth="1"/>
    <col min="5" max="5" width="11.8515625" style="41" customWidth="1"/>
    <col min="6" max="6" width="10.421875" style="397" customWidth="1"/>
    <col min="7" max="7" width="10.28125" style="397" customWidth="1"/>
    <col min="8" max="8" width="10.140625" style="397" customWidth="1"/>
    <col min="9" max="9" width="8.421875" style="41" customWidth="1"/>
    <col min="10" max="10" width="7.8515625" style="41" customWidth="1"/>
    <col min="11" max="11" width="8.00390625" style="41" customWidth="1"/>
    <col min="12" max="12" width="10.00390625" style="41" customWidth="1"/>
    <col min="13" max="13" width="11.00390625" style="41" customWidth="1"/>
    <col min="14" max="14" width="11.28125" style="41" customWidth="1"/>
    <col min="15" max="15" width="11.00390625" style="41" customWidth="1"/>
    <col min="16" max="16" width="10.140625" style="397" customWidth="1"/>
    <col min="17" max="17" width="9.28125" style="397" customWidth="1"/>
    <col min="18" max="18" width="7.57421875" style="397" customWidth="1"/>
    <col min="19" max="19" width="9.28125" style="254" customWidth="1"/>
    <col min="20" max="20" width="8.140625" style="254" customWidth="1"/>
    <col min="21" max="21" width="9.57421875" style="254" customWidth="1"/>
    <col min="22" max="23" width="8.57421875" style="254" customWidth="1"/>
    <col min="24" max="24" width="8.140625" style="254" customWidth="1"/>
    <col min="25" max="25" width="9.140625" style="72" customWidth="1"/>
    <col min="26" max="16384" width="9.140625" style="17" customWidth="1"/>
  </cols>
  <sheetData>
    <row r="1" spans="1:24" ht="19.5" customHeight="1">
      <c r="A1" s="1" t="s">
        <v>318</v>
      </c>
      <c r="B1" s="15"/>
      <c r="C1" s="364"/>
      <c r="D1" s="364"/>
      <c r="E1" s="365"/>
      <c r="F1" s="365"/>
      <c r="G1" s="365"/>
      <c r="H1" s="365"/>
      <c r="I1" s="365"/>
      <c r="J1" s="365"/>
      <c r="K1" s="365"/>
      <c r="L1" s="365"/>
      <c r="M1" s="365"/>
      <c r="N1" s="365"/>
      <c r="O1" s="365"/>
      <c r="P1" s="365"/>
      <c r="Q1" s="365"/>
      <c r="R1" s="365"/>
      <c r="S1" s="365"/>
      <c r="T1" s="365"/>
      <c r="U1" s="365"/>
      <c r="V1" s="365"/>
      <c r="W1" s="365"/>
      <c r="X1" s="365"/>
    </row>
    <row r="2" spans="1:62" s="19" customFormat="1" ht="18.75">
      <c r="A2" s="810" t="s">
        <v>61</v>
      </c>
      <c r="B2" s="810"/>
      <c r="C2" s="810"/>
      <c r="D2" s="810"/>
      <c r="E2" s="810"/>
      <c r="F2" s="810"/>
      <c r="G2" s="810"/>
      <c r="H2" s="810"/>
      <c r="I2" s="810"/>
      <c r="J2" s="810"/>
      <c r="K2" s="810"/>
      <c r="L2" s="810"/>
      <c r="M2" s="810"/>
      <c r="N2" s="810"/>
      <c r="O2" s="810"/>
      <c r="P2" s="810"/>
      <c r="Q2" s="810"/>
      <c r="R2" s="810"/>
      <c r="S2" s="810"/>
      <c r="T2" s="810"/>
      <c r="U2" s="810"/>
      <c r="V2" s="810"/>
      <c r="W2" s="810"/>
      <c r="X2" s="810"/>
      <c r="Y2" s="50"/>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row>
    <row r="3" spans="1:62" s="19" customFormat="1" ht="18.75">
      <c r="A3" s="883" t="s">
        <v>62</v>
      </c>
      <c r="B3" s="883"/>
      <c r="C3" s="883"/>
      <c r="D3" s="883"/>
      <c r="E3" s="883"/>
      <c r="F3" s="883"/>
      <c r="G3" s="883"/>
      <c r="H3" s="883"/>
      <c r="I3" s="883"/>
      <c r="J3" s="883"/>
      <c r="K3" s="883"/>
      <c r="L3" s="883"/>
      <c r="M3" s="883"/>
      <c r="N3" s="883"/>
      <c r="O3" s="883"/>
      <c r="P3" s="883"/>
      <c r="Q3" s="883"/>
      <c r="R3" s="883"/>
      <c r="S3" s="883"/>
      <c r="T3" s="883"/>
      <c r="U3" s="883"/>
      <c r="V3" s="883"/>
      <c r="W3" s="883"/>
      <c r="X3" s="883"/>
      <c r="Y3" s="50"/>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row>
    <row r="4" spans="1:62" s="19" customFormat="1" ht="21.75" customHeight="1">
      <c r="A4" s="810" t="s">
        <v>319</v>
      </c>
      <c r="B4" s="812"/>
      <c r="C4" s="812"/>
      <c r="D4" s="812"/>
      <c r="E4" s="812"/>
      <c r="F4" s="812"/>
      <c r="G4" s="812"/>
      <c r="H4" s="812"/>
      <c r="I4" s="812"/>
      <c r="J4" s="812"/>
      <c r="K4" s="812"/>
      <c r="L4" s="812"/>
      <c r="M4" s="812"/>
      <c r="N4" s="812"/>
      <c r="O4" s="812"/>
      <c r="P4" s="812"/>
      <c r="Q4" s="812"/>
      <c r="R4" s="812"/>
      <c r="S4" s="812"/>
      <c r="T4" s="812"/>
      <c r="U4" s="812"/>
      <c r="V4" s="812"/>
      <c r="W4" s="812"/>
      <c r="X4" s="812"/>
      <c r="Y4" s="50"/>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row>
    <row r="5" spans="1:62" s="19" customFormat="1" ht="21.75" customHeight="1">
      <c r="A5" s="155"/>
      <c r="B5" s="154"/>
      <c r="C5" s="366"/>
      <c r="D5" s="366"/>
      <c r="E5" s="366"/>
      <c r="F5" s="366"/>
      <c r="G5" s="366"/>
      <c r="H5" s="366"/>
      <c r="I5" s="366"/>
      <c r="J5" s="366"/>
      <c r="K5" s="366"/>
      <c r="L5" s="366"/>
      <c r="M5" s="366"/>
      <c r="N5" s="366"/>
      <c r="O5" s="366"/>
      <c r="P5" s="366"/>
      <c r="Q5" s="366"/>
      <c r="R5" s="366"/>
      <c r="S5" s="366"/>
      <c r="T5" s="884" t="s">
        <v>553</v>
      </c>
      <c r="U5" s="884"/>
      <c r="V5" s="884"/>
      <c r="W5" s="884"/>
      <c r="X5" s="884"/>
      <c r="Y5" s="50"/>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8"/>
      <c r="BJ5" s="18"/>
    </row>
    <row r="6" spans="1:24" ht="15.75">
      <c r="A6" s="20"/>
      <c r="B6" s="20"/>
      <c r="C6" s="367"/>
      <c r="D6" s="367"/>
      <c r="E6" s="368"/>
      <c r="F6" s="368"/>
      <c r="G6" s="368"/>
      <c r="H6" s="368"/>
      <c r="I6" s="368"/>
      <c r="J6" s="368"/>
      <c r="K6" s="368"/>
      <c r="L6" s="368"/>
      <c r="M6" s="368"/>
      <c r="N6" s="368"/>
      <c r="O6" s="368"/>
      <c r="P6" s="368"/>
      <c r="Q6" s="368"/>
      <c r="R6" s="368"/>
      <c r="S6" s="368"/>
      <c r="T6" s="368"/>
      <c r="U6" s="368"/>
      <c r="V6" s="368"/>
      <c r="W6" s="368"/>
      <c r="X6" s="368"/>
    </row>
    <row r="7" spans="1:25" s="369" customFormat="1" ht="26.25" customHeight="1">
      <c r="A7" s="859"/>
      <c r="B7" s="860"/>
      <c r="C7" s="865" t="s">
        <v>63</v>
      </c>
      <c r="D7" s="866"/>
      <c r="E7" s="866"/>
      <c r="F7" s="866"/>
      <c r="G7" s="866"/>
      <c r="H7" s="866"/>
      <c r="I7" s="866"/>
      <c r="J7" s="866"/>
      <c r="K7" s="866"/>
      <c r="L7" s="867"/>
      <c r="M7" s="877" t="s">
        <v>64</v>
      </c>
      <c r="N7" s="878"/>
      <c r="O7" s="878"/>
      <c r="P7" s="878"/>
      <c r="Q7" s="878"/>
      <c r="R7" s="878"/>
      <c r="S7" s="878"/>
      <c r="T7" s="878"/>
      <c r="U7" s="878"/>
      <c r="V7" s="878"/>
      <c r="W7" s="878"/>
      <c r="X7" s="879"/>
      <c r="Y7" s="711"/>
    </row>
    <row r="8" spans="1:25" s="369" customFormat="1" ht="12.75" customHeight="1">
      <c r="A8" s="861"/>
      <c r="B8" s="862"/>
      <c r="C8" s="849" t="s">
        <v>65</v>
      </c>
      <c r="D8" s="849"/>
      <c r="E8" s="849"/>
      <c r="F8" s="874" t="s">
        <v>66</v>
      </c>
      <c r="G8" s="874"/>
      <c r="H8" s="874"/>
      <c r="I8" s="880"/>
      <c r="J8" s="870" t="s">
        <v>67</v>
      </c>
      <c r="K8" s="874"/>
      <c r="L8" s="880"/>
      <c r="M8" s="870" t="s">
        <v>68</v>
      </c>
      <c r="N8" s="874"/>
      <c r="O8" s="880"/>
      <c r="P8" s="870" t="s">
        <v>69</v>
      </c>
      <c r="Q8" s="874"/>
      <c r="R8" s="874"/>
      <c r="S8" s="880"/>
      <c r="T8" s="870" t="s">
        <v>70</v>
      </c>
      <c r="U8" s="874"/>
      <c r="V8" s="874"/>
      <c r="W8" s="874"/>
      <c r="X8" s="880"/>
      <c r="Y8" s="711"/>
    </row>
    <row r="9" spans="1:25" s="369" customFormat="1" ht="66" customHeight="1">
      <c r="A9" s="861"/>
      <c r="B9" s="862"/>
      <c r="C9" s="849"/>
      <c r="D9" s="849"/>
      <c r="E9" s="849"/>
      <c r="F9" s="876"/>
      <c r="G9" s="876"/>
      <c r="H9" s="876"/>
      <c r="I9" s="881"/>
      <c r="J9" s="872"/>
      <c r="K9" s="876"/>
      <c r="L9" s="881"/>
      <c r="M9" s="871"/>
      <c r="N9" s="875"/>
      <c r="O9" s="882"/>
      <c r="P9" s="872"/>
      <c r="Q9" s="876"/>
      <c r="R9" s="876"/>
      <c r="S9" s="881"/>
      <c r="T9" s="871"/>
      <c r="U9" s="875"/>
      <c r="V9" s="875"/>
      <c r="W9" s="875"/>
      <c r="X9" s="882"/>
      <c r="Y9" s="711"/>
    </row>
    <row r="10" spans="1:25" s="369" customFormat="1" ht="29.25" customHeight="1">
      <c r="A10" s="861"/>
      <c r="B10" s="862"/>
      <c r="C10" s="848" t="s">
        <v>322</v>
      </c>
      <c r="D10" s="848" t="s">
        <v>71</v>
      </c>
      <c r="E10" s="848"/>
      <c r="F10" s="874" t="s">
        <v>322</v>
      </c>
      <c r="G10" s="852" t="s">
        <v>72</v>
      </c>
      <c r="H10" s="873"/>
      <c r="I10" s="853"/>
      <c r="J10" s="856" t="s">
        <v>511</v>
      </c>
      <c r="K10" s="868" t="s">
        <v>321</v>
      </c>
      <c r="L10" s="869"/>
      <c r="M10" s="848" t="s">
        <v>322</v>
      </c>
      <c r="N10" s="848" t="s">
        <v>321</v>
      </c>
      <c r="O10" s="848"/>
      <c r="P10" s="870" t="s">
        <v>322</v>
      </c>
      <c r="Q10" s="852" t="s">
        <v>321</v>
      </c>
      <c r="R10" s="873"/>
      <c r="S10" s="853"/>
      <c r="T10" s="848" t="s">
        <v>511</v>
      </c>
      <c r="U10" s="848" t="s">
        <v>512</v>
      </c>
      <c r="V10" s="848" t="s">
        <v>320</v>
      </c>
      <c r="W10" s="848"/>
      <c r="X10" s="848"/>
      <c r="Y10" s="711"/>
    </row>
    <row r="11" spans="1:25" s="369" customFormat="1" ht="38.25" customHeight="1">
      <c r="A11" s="861"/>
      <c r="B11" s="862"/>
      <c r="C11" s="848"/>
      <c r="D11" s="848" t="s">
        <v>73</v>
      </c>
      <c r="E11" s="848" t="s">
        <v>74</v>
      </c>
      <c r="F11" s="875"/>
      <c r="G11" s="852" t="s">
        <v>76</v>
      </c>
      <c r="H11" s="853"/>
      <c r="I11" s="854" t="s">
        <v>77</v>
      </c>
      <c r="J11" s="856"/>
      <c r="K11" s="856" t="s">
        <v>512</v>
      </c>
      <c r="L11" s="856" t="s">
        <v>320</v>
      </c>
      <c r="M11" s="848"/>
      <c r="N11" s="848" t="s">
        <v>73</v>
      </c>
      <c r="O11" s="848" t="s">
        <v>74</v>
      </c>
      <c r="P11" s="871"/>
      <c r="Q11" s="852" t="s">
        <v>78</v>
      </c>
      <c r="R11" s="853"/>
      <c r="S11" s="854" t="s">
        <v>79</v>
      </c>
      <c r="T11" s="848"/>
      <c r="U11" s="848"/>
      <c r="V11" s="848" t="s">
        <v>322</v>
      </c>
      <c r="W11" s="848" t="s">
        <v>80</v>
      </c>
      <c r="X11" s="848"/>
      <c r="Y11" s="711"/>
    </row>
    <row r="12" spans="1:25" s="369" customFormat="1" ht="180.75" customHeight="1">
      <c r="A12" s="863"/>
      <c r="B12" s="864"/>
      <c r="C12" s="848"/>
      <c r="D12" s="848"/>
      <c r="E12" s="848"/>
      <c r="F12" s="876"/>
      <c r="G12" s="124" t="s">
        <v>322</v>
      </c>
      <c r="H12" s="124" t="s">
        <v>81</v>
      </c>
      <c r="I12" s="855"/>
      <c r="J12" s="855"/>
      <c r="K12" s="855"/>
      <c r="L12" s="855"/>
      <c r="M12" s="848"/>
      <c r="N12" s="848"/>
      <c r="O12" s="848"/>
      <c r="P12" s="872"/>
      <c r="Q12" s="124" t="s">
        <v>322</v>
      </c>
      <c r="R12" s="124" t="s">
        <v>81</v>
      </c>
      <c r="S12" s="855"/>
      <c r="T12" s="848"/>
      <c r="U12" s="848"/>
      <c r="V12" s="848"/>
      <c r="W12" s="124" t="s">
        <v>82</v>
      </c>
      <c r="X12" s="124" t="s">
        <v>83</v>
      </c>
      <c r="Y12" s="711"/>
    </row>
    <row r="13" spans="1:24" ht="20.25" customHeight="1">
      <c r="A13" s="849" t="s">
        <v>323</v>
      </c>
      <c r="B13" s="849"/>
      <c r="C13" s="124">
        <v>1</v>
      </c>
      <c r="D13" s="124">
        <v>2</v>
      </c>
      <c r="E13" s="124">
        <v>3</v>
      </c>
      <c r="F13" s="124">
        <v>4</v>
      </c>
      <c r="G13" s="124">
        <v>5</v>
      </c>
      <c r="H13" s="124">
        <v>6</v>
      </c>
      <c r="I13" s="124">
        <v>7</v>
      </c>
      <c r="J13" s="124">
        <v>8</v>
      </c>
      <c r="K13" s="124">
        <v>9</v>
      </c>
      <c r="L13" s="124">
        <v>10</v>
      </c>
      <c r="M13" s="124">
        <v>11</v>
      </c>
      <c r="N13" s="124">
        <v>12</v>
      </c>
      <c r="O13" s="124">
        <v>13</v>
      </c>
      <c r="P13" s="124">
        <v>14</v>
      </c>
      <c r="Q13" s="124">
        <v>15</v>
      </c>
      <c r="R13" s="124">
        <v>16</v>
      </c>
      <c r="S13" s="124">
        <v>17</v>
      </c>
      <c r="T13" s="124">
        <v>18</v>
      </c>
      <c r="U13" s="124">
        <v>19</v>
      </c>
      <c r="V13" s="124">
        <v>20</v>
      </c>
      <c r="W13" s="124">
        <v>21</v>
      </c>
      <c r="X13" s="124">
        <v>22</v>
      </c>
    </row>
    <row r="14" spans="1:24" ht="42.75" customHeight="1">
      <c r="A14" s="850" t="s">
        <v>324</v>
      </c>
      <c r="B14" s="851"/>
      <c r="C14" s="266">
        <f aca="true" t="shared" si="0" ref="C14:X14">C15+C37</f>
        <v>486145</v>
      </c>
      <c r="D14" s="266">
        <f t="shared" si="0"/>
        <v>20616</v>
      </c>
      <c r="E14" s="266">
        <f t="shared" si="0"/>
        <v>467843</v>
      </c>
      <c r="F14" s="266">
        <f t="shared" si="0"/>
        <v>2694</v>
      </c>
      <c r="G14" s="266">
        <f t="shared" si="0"/>
        <v>1621</v>
      </c>
      <c r="H14" s="266">
        <f t="shared" si="0"/>
        <v>252</v>
      </c>
      <c r="I14" s="266">
        <f t="shared" si="0"/>
        <v>1065</v>
      </c>
      <c r="J14" s="266">
        <f t="shared" si="0"/>
        <v>3938.5</v>
      </c>
      <c r="K14" s="266">
        <f t="shared" si="0"/>
        <v>1333.5</v>
      </c>
      <c r="L14" s="266">
        <f t="shared" si="0"/>
        <v>2605</v>
      </c>
      <c r="M14" s="266">
        <f t="shared" si="0"/>
        <v>284208</v>
      </c>
      <c r="N14" s="266">
        <f t="shared" si="0"/>
        <v>22058</v>
      </c>
      <c r="O14" s="266">
        <f t="shared" si="0"/>
        <v>261423</v>
      </c>
      <c r="P14" s="266">
        <f t="shared" si="0"/>
        <v>4350</v>
      </c>
      <c r="Q14" s="266">
        <f t="shared" si="0"/>
        <v>3304</v>
      </c>
      <c r="R14" s="266">
        <f t="shared" si="0"/>
        <v>753</v>
      </c>
      <c r="S14" s="266">
        <f t="shared" si="0"/>
        <v>1016</v>
      </c>
      <c r="T14" s="266">
        <f t="shared" si="0"/>
        <v>5668</v>
      </c>
      <c r="U14" s="266">
        <f t="shared" si="0"/>
        <v>1545</v>
      </c>
      <c r="V14" s="266">
        <f t="shared" si="0"/>
        <v>4123</v>
      </c>
      <c r="W14" s="266">
        <f t="shared" si="0"/>
        <v>3224</v>
      </c>
      <c r="X14" s="266">
        <f t="shared" si="0"/>
        <v>69</v>
      </c>
    </row>
    <row r="15" spans="1:24" ht="51" customHeight="1">
      <c r="A15" s="851" t="s">
        <v>325</v>
      </c>
      <c r="B15" s="857"/>
      <c r="C15" s="373">
        <f>SUM(C16:C19)</f>
        <v>140</v>
      </c>
      <c r="D15" s="373">
        <f aca="true" t="shared" si="1" ref="D15:X15">SUM(D16:D36)</f>
        <v>373</v>
      </c>
      <c r="E15" s="373">
        <f t="shared" si="1"/>
        <v>2081</v>
      </c>
      <c r="F15" s="373">
        <f t="shared" si="1"/>
        <v>25</v>
      </c>
      <c r="G15" s="373">
        <f t="shared" si="1"/>
        <v>16</v>
      </c>
      <c r="H15" s="373">
        <f t="shared" si="1"/>
        <v>0</v>
      </c>
      <c r="I15" s="373">
        <f t="shared" si="1"/>
        <v>1</v>
      </c>
      <c r="J15" s="373">
        <f t="shared" si="1"/>
        <v>4</v>
      </c>
      <c r="K15" s="373">
        <f t="shared" si="1"/>
        <v>0</v>
      </c>
      <c r="L15" s="373">
        <f t="shared" si="1"/>
        <v>4</v>
      </c>
      <c r="M15" s="373">
        <f t="shared" si="1"/>
        <v>4558</v>
      </c>
      <c r="N15" s="373">
        <f t="shared" si="1"/>
        <v>3530</v>
      </c>
      <c r="O15" s="373">
        <f t="shared" si="1"/>
        <v>301</v>
      </c>
      <c r="P15" s="373">
        <f t="shared" si="1"/>
        <v>468</v>
      </c>
      <c r="Q15" s="373">
        <f t="shared" si="1"/>
        <v>432</v>
      </c>
      <c r="R15" s="373">
        <f t="shared" si="1"/>
        <v>87</v>
      </c>
      <c r="S15" s="373">
        <f t="shared" si="1"/>
        <v>6</v>
      </c>
      <c r="T15" s="373">
        <f t="shared" si="1"/>
        <v>466</v>
      </c>
      <c r="U15" s="373">
        <f t="shared" si="1"/>
        <v>0</v>
      </c>
      <c r="V15" s="373">
        <f t="shared" si="1"/>
        <v>466</v>
      </c>
      <c r="W15" s="373">
        <f t="shared" si="1"/>
        <v>226</v>
      </c>
      <c r="X15" s="373">
        <f t="shared" si="1"/>
        <v>12</v>
      </c>
    </row>
    <row r="16" spans="1:24" ht="25.5" customHeight="1">
      <c r="A16" s="639">
        <v>1</v>
      </c>
      <c r="B16" s="110" t="s">
        <v>479</v>
      </c>
      <c r="C16" s="101">
        <f>D16+E16</f>
        <v>18</v>
      </c>
      <c r="D16" s="374">
        <v>18</v>
      </c>
      <c r="E16" s="374"/>
      <c r="F16" s="153">
        <f>G16+I16</f>
        <v>0</v>
      </c>
      <c r="G16" s="122">
        <v>0</v>
      </c>
      <c r="H16" s="375">
        <v>0</v>
      </c>
      <c r="I16" s="375">
        <v>0</v>
      </c>
      <c r="J16" s="376">
        <f>K16+L16</f>
        <v>0</v>
      </c>
      <c r="K16" s="375"/>
      <c r="L16" s="375"/>
      <c r="M16" s="376">
        <f>N16+O16</f>
        <v>73</v>
      </c>
      <c r="N16" s="375">
        <v>73</v>
      </c>
      <c r="O16" s="122"/>
      <c r="P16" s="153">
        <f>Q16+S16</f>
        <v>2</v>
      </c>
      <c r="Q16" s="374">
        <v>2</v>
      </c>
      <c r="R16" s="375"/>
      <c r="S16" s="122"/>
      <c r="T16" s="376">
        <f>U16+V16</f>
        <v>2</v>
      </c>
      <c r="U16" s="122"/>
      <c r="V16" s="122">
        <v>2</v>
      </c>
      <c r="W16" s="122"/>
      <c r="X16" s="122"/>
    </row>
    <row r="17" spans="1:24" ht="31.5" customHeight="1">
      <c r="A17" s="639">
        <v>2</v>
      </c>
      <c r="B17" s="111" t="s">
        <v>480</v>
      </c>
      <c r="C17" s="101">
        <f aca="true" t="shared" si="2" ref="C17:C36">D17+E17</f>
        <v>37</v>
      </c>
      <c r="D17" s="377">
        <v>36</v>
      </c>
      <c r="E17" s="374">
        <v>1</v>
      </c>
      <c r="F17" s="153">
        <f aca="true" t="shared" si="3" ref="F17:F23">G17+I17</f>
        <v>12</v>
      </c>
      <c r="G17" s="122">
        <v>11</v>
      </c>
      <c r="H17" s="122">
        <v>0</v>
      </c>
      <c r="I17" s="122">
        <v>1</v>
      </c>
      <c r="J17" s="376">
        <f aca="true" t="shared" si="4" ref="J17:J36">K17+L17</f>
        <v>0</v>
      </c>
      <c r="K17" s="122"/>
      <c r="L17" s="122"/>
      <c r="M17" s="376">
        <f aca="true" t="shared" si="5" ref="M17:M23">N17+O17</f>
        <v>10</v>
      </c>
      <c r="N17" s="375">
        <v>10</v>
      </c>
      <c r="O17" s="122">
        <v>0</v>
      </c>
      <c r="P17" s="153">
        <f aca="true" t="shared" si="6" ref="P17:P30">Q17+S17</f>
        <v>6</v>
      </c>
      <c r="Q17" s="374">
        <v>6</v>
      </c>
      <c r="R17" s="375">
        <v>0</v>
      </c>
      <c r="S17" s="122">
        <v>0</v>
      </c>
      <c r="T17" s="376">
        <f aca="true" t="shared" si="7" ref="T17:T36">U17+V17</f>
        <v>0</v>
      </c>
      <c r="U17" s="122"/>
      <c r="V17" s="122"/>
      <c r="W17" s="122"/>
      <c r="X17" s="122"/>
    </row>
    <row r="18" spans="1:24" ht="39" customHeight="1">
      <c r="A18" s="639">
        <v>3</v>
      </c>
      <c r="B18" s="112" t="s">
        <v>465</v>
      </c>
      <c r="C18" s="101">
        <f t="shared" si="2"/>
        <v>42</v>
      </c>
      <c r="D18" s="377">
        <v>42</v>
      </c>
      <c r="E18" s="374">
        <v>0</v>
      </c>
      <c r="F18" s="153">
        <f t="shared" si="3"/>
        <v>0</v>
      </c>
      <c r="G18" s="122">
        <v>0</v>
      </c>
      <c r="H18" s="375">
        <v>0</v>
      </c>
      <c r="I18" s="375">
        <v>0</v>
      </c>
      <c r="J18" s="376">
        <f t="shared" si="4"/>
        <v>0</v>
      </c>
      <c r="K18" s="375">
        <v>0</v>
      </c>
      <c r="L18" s="375">
        <v>0</v>
      </c>
      <c r="M18" s="376">
        <f t="shared" si="5"/>
        <v>4</v>
      </c>
      <c r="N18" s="375">
        <v>4</v>
      </c>
      <c r="O18" s="122">
        <v>0</v>
      </c>
      <c r="P18" s="153">
        <f t="shared" si="6"/>
        <v>0</v>
      </c>
      <c r="Q18" s="374">
        <v>0</v>
      </c>
      <c r="R18" s="375">
        <v>0</v>
      </c>
      <c r="S18" s="122">
        <v>0</v>
      </c>
      <c r="T18" s="376">
        <f t="shared" si="7"/>
        <v>0</v>
      </c>
      <c r="U18" s="122">
        <v>0</v>
      </c>
      <c r="V18" s="122">
        <v>0</v>
      </c>
      <c r="W18" s="122">
        <v>0</v>
      </c>
      <c r="X18" s="122">
        <v>0</v>
      </c>
    </row>
    <row r="19" spans="1:24" ht="39" customHeight="1">
      <c r="A19" s="639">
        <v>4</v>
      </c>
      <c r="B19" s="111" t="s">
        <v>350</v>
      </c>
      <c r="C19" s="101">
        <f t="shared" si="2"/>
        <v>43</v>
      </c>
      <c r="D19" s="377">
        <v>43</v>
      </c>
      <c r="E19" s="374">
        <v>0</v>
      </c>
      <c r="F19" s="153">
        <f t="shared" si="3"/>
        <v>3</v>
      </c>
      <c r="G19" s="122">
        <v>3</v>
      </c>
      <c r="H19" s="375">
        <v>0</v>
      </c>
      <c r="I19" s="375">
        <v>0</v>
      </c>
      <c r="J19" s="376">
        <f t="shared" si="4"/>
        <v>3</v>
      </c>
      <c r="K19" s="375"/>
      <c r="L19" s="375">
        <v>3</v>
      </c>
      <c r="M19" s="376">
        <f t="shared" si="5"/>
        <v>68</v>
      </c>
      <c r="N19" s="375">
        <v>68</v>
      </c>
      <c r="O19" s="122">
        <v>0</v>
      </c>
      <c r="P19" s="153">
        <f t="shared" si="6"/>
        <v>0</v>
      </c>
      <c r="Q19" s="374">
        <v>0</v>
      </c>
      <c r="R19" s="375">
        <v>0</v>
      </c>
      <c r="S19" s="122">
        <v>0</v>
      </c>
      <c r="T19" s="376">
        <f t="shared" si="7"/>
        <v>0</v>
      </c>
      <c r="U19" s="122">
        <v>0</v>
      </c>
      <c r="V19" s="122">
        <v>0</v>
      </c>
      <c r="W19" s="122">
        <v>0</v>
      </c>
      <c r="X19" s="122">
        <v>0</v>
      </c>
    </row>
    <row r="20" spans="1:24" ht="15.75">
      <c r="A20" s="639">
        <v>5</v>
      </c>
      <c r="B20" s="111" t="s">
        <v>355</v>
      </c>
      <c r="C20" s="101">
        <f t="shared" si="2"/>
        <v>0</v>
      </c>
      <c r="D20" s="377"/>
      <c r="E20" s="374"/>
      <c r="F20" s="153">
        <f t="shared" si="3"/>
        <v>0</v>
      </c>
      <c r="G20" s="122"/>
      <c r="H20" s="375"/>
      <c r="I20" s="375"/>
      <c r="J20" s="376">
        <f t="shared" si="4"/>
        <v>0</v>
      </c>
      <c r="K20" s="375"/>
      <c r="L20" s="375"/>
      <c r="M20" s="376">
        <f t="shared" si="5"/>
        <v>0</v>
      </c>
      <c r="N20" s="375"/>
      <c r="O20" s="122"/>
      <c r="P20" s="153">
        <f t="shared" si="6"/>
        <v>0</v>
      </c>
      <c r="Q20" s="374"/>
      <c r="R20" s="375"/>
      <c r="S20" s="122"/>
      <c r="T20" s="376">
        <f t="shared" si="7"/>
        <v>0</v>
      </c>
      <c r="U20" s="122"/>
      <c r="V20" s="122"/>
      <c r="W20" s="122"/>
      <c r="X20" s="122"/>
    </row>
    <row r="21" spans="1:24" ht="31.5">
      <c r="A21" s="639">
        <v>6</v>
      </c>
      <c r="B21" s="111" t="s">
        <v>356</v>
      </c>
      <c r="C21" s="101">
        <f t="shared" si="2"/>
        <v>1594</v>
      </c>
      <c r="D21" s="377">
        <v>22</v>
      </c>
      <c r="E21" s="374">
        <v>1572</v>
      </c>
      <c r="F21" s="153">
        <f t="shared" si="3"/>
        <v>0</v>
      </c>
      <c r="G21" s="122">
        <v>0</v>
      </c>
      <c r="H21" s="375">
        <v>0</v>
      </c>
      <c r="I21" s="375">
        <v>0</v>
      </c>
      <c r="J21" s="376">
        <f t="shared" si="4"/>
        <v>0</v>
      </c>
      <c r="K21" s="375">
        <v>0</v>
      </c>
      <c r="L21" s="375">
        <v>0</v>
      </c>
      <c r="M21" s="376">
        <f t="shared" si="5"/>
        <v>271</v>
      </c>
      <c r="N21" s="375">
        <v>22</v>
      </c>
      <c r="O21" s="122">
        <v>249</v>
      </c>
      <c r="P21" s="153">
        <f t="shared" si="6"/>
        <v>0</v>
      </c>
      <c r="Q21" s="374">
        <v>0</v>
      </c>
      <c r="R21" s="375">
        <v>0</v>
      </c>
      <c r="S21" s="122">
        <v>0</v>
      </c>
      <c r="T21" s="376">
        <f t="shared" si="7"/>
        <v>0</v>
      </c>
      <c r="U21" s="122">
        <v>0</v>
      </c>
      <c r="V21" s="122">
        <v>0</v>
      </c>
      <c r="W21" s="122">
        <v>0</v>
      </c>
      <c r="X21" s="122">
        <v>0</v>
      </c>
    </row>
    <row r="22" spans="1:24" ht="49.5" customHeight="1">
      <c r="A22" s="639">
        <v>7</v>
      </c>
      <c r="B22" s="111" t="s">
        <v>481</v>
      </c>
      <c r="C22" s="101">
        <f t="shared" si="2"/>
        <v>0</v>
      </c>
      <c r="D22" s="377"/>
      <c r="E22" s="374"/>
      <c r="F22" s="153">
        <f t="shared" si="3"/>
        <v>0</v>
      </c>
      <c r="G22" s="122"/>
      <c r="H22" s="375"/>
      <c r="I22" s="375"/>
      <c r="J22" s="376">
        <f t="shared" si="4"/>
        <v>0</v>
      </c>
      <c r="K22" s="375"/>
      <c r="L22" s="375"/>
      <c r="M22" s="376">
        <f t="shared" si="5"/>
        <v>0</v>
      </c>
      <c r="N22" s="375"/>
      <c r="O22" s="122"/>
      <c r="P22" s="153">
        <f t="shared" si="6"/>
        <v>0</v>
      </c>
      <c r="Q22" s="374"/>
      <c r="R22" s="375"/>
      <c r="S22" s="122"/>
      <c r="T22" s="376">
        <f t="shared" si="7"/>
        <v>0</v>
      </c>
      <c r="U22" s="122"/>
      <c r="V22" s="122"/>
      <c r="W22" s="122"/>
      <c r="X22" s="122"/>
    </row>
    <row r="23" spans="1:24" ht="15.75">
      <c r="A23" s="639">
        <v>8</v>
      </c>
      <c r="B23" s="113" t="s">
        <v>482</v>
      </c>
      <c r="C23" s="101">
        <f t="shared" si="2"/>
        <v>0</v>
      </c>
      <c r="D23" s="377"/>
      <c r="E23" s="374"/>
      <c r="F23" s="153">
        <f t="shared" si="3"/>
        <v>0</v>
      </c>
      <c r="G23" s="122"/>
      <c r="H23" s="375"/>
      <c r="I23" s="375"/>
      <c r="J23" s="376">
        <f t="shared" si="4"/>
        <v>0</v>
      </c>
      <c r="K23" s="375"/>
      <c r="L23" s="375"/>
      <c r="M23" s="376">
        <f t="shared" si="5"/>
        <v>0</v>
      </c>
      <c r="N23" s="375"/>
      <c r="O23" s="122"/>
      <c r="P23" s="153">
        <f t="shared" si="6"/>
        <v>0</v>
      </c>
      <c r="Q23" s="374"/>
      <c r="R23" s="375"/>
      <c r="S23" s="122"/>
      <c r="T23" s="376">
        <f t="shared" si="7"/>
        <v>0</v>
      </c>
      <c r="U23" s="122"/>
      <c r="V23" s="122"/>
      <c r="W23" s="122"/>
      <c r="X23" s="122"/>
    </row>
    <row r="24" spans="1:24" ht="15.75">
      <c r="A24" s="639">
        <v>9</v>
      </c>
      <c r="B24" s="114" t="s">
        <v>483</v>
      </c>
      <c r="C24" s="101">
        <f t="shared" si="2"/>
        <v>8</v>
      </c>
      <c r="D24" s="377">
        <v>8</v>
      </c>
      <c r="E24" s="374">
        <v>0</v>
      </c>
      <c r="F24" s="378">
        <v>8</v>
      </c>
      <c r="G24" s="379">
        <v>0</v>
      </c>
      <c r="H24" s="380">
        <v>0</v>
      </c>
      <c r="I24" s="380">
        <v>0</v>
      </c>
      <c r="J24" s="376">
        <f t="shared" si="4"/>
        <v>0</v>
      </c>
      <c r="K24" s="375"/>
      <c r="L24" s="375"/>
      <c r="M24" s="381">
        <v>667</v>
      </c>
      <c r="N24" s="375"/>
      <c r="O24" s="122"/>
      <c r="P24" s="153">
        <f t="shared" si="6"/>
        <v>0</v>
      </c>
      <c r="Q24" s="374"/>
      <c r="R24" s="375"/>
      <c r="S24" s="122"/>
      <c r="T24" s="376">
        <f t="shared" si="7"/>
        <v>0</v>
      </c>
      <c r="U24" s="122"/>
      <c r="V24" s="122"/>
      <c r="W24" s="122"/>
      <c r="X24" s="122"/>
    </row>
    <row r="25" spans="1:24" ht="45" customHeight="1">
      <c r="A25" s="639">
        <v>10</v>
      </c>
      <c r="B25" s="111" t="s">
        <v>484</v>
      </c>
      <c r="C25" s="101">
        <f t="shared" si="2"/>
        <v>18</v>
      </c>
      <c r="D25" s="377">
        <v>18</v>
      </c>
      <c r="E25" s="374">
        <v>0</v>
      </c>
      <c r="F25" s="153">
        <f aca="true" t="shared" si="8" ref="F25:F36">G25+I25</f>
        <v>0</v>
      </c>
      <c r="G25" s="122">
        <v>0</v>
      </c>
      <c r="H25" s="375">
        <v>0</v>
      </c>
      <c r="I25" s="375">
        <v>0</v>
      </c>
      <c r="J25" s="376">
        <f t="shared" si="4"/>
        <v>0</v>
      </c>
      <c r="K25" s="375">
        <v>0</v>
      </c>
      <c r="L25" s="375">
        <v>0</v>
      </c>
      <c r="M25" s="376">
        <f>N25+O25</f>
        <v>87</v>
      </c>
      <c r="N25" s="375">
        <f>36+51</f>
        <v>87</v>
      </c>
      <c r="O25" s="122">
        <v>0</v>
      </c>
      <c r="P25" s="153">
        <f t="shared" si="6"/>
        <v>3</v>
      </c>
      <c r="Q25" s="374">
        <v>3</v>
      </c>
      <c r="R25" s="375">
        <v>0</v>
      </c>
      <c r="S25" s="122">
        <v>0</v>
      </c>
      <c r="T25" s="376">
        <f t="shared" si="7"/>
        <v>3</v>
      </c>
      <c r="U25" s="122">
        <v>0</v>
      </c>
      <c r="V25" s="122">
        <v>3</v>
      </c>
      <c r="W25" s="122">
        <v>0</v>
      </c>
      <c r="X25" s="122">
        <v>0</v>
      </c>
    </row>
    <row r="26" spans="1:24" ht="15.75">
      <c r="A26" s="639">
        <v>11</v>
      </c>
      <c r="B26" s="113" t="s">
        <v>447</v>
      </c>
      <c r="C26" s="101">
        <f t="shared" si="2"/>
        <v>38</v>
      </c>
      <c r="D26" s="377">
        <v>38</v>
      </c>
      <c r="E26" s="374">
        <v>0</v>
      </c>
      <c r="F26" s="153">
        <f t="shared" si="8"/>
        <v>0</v>
      </c>
      <c r="G26" s="122">
        <v>0</v>
      </c>
      <c r="H26" s="375">
        <v>0</v>
      </c>
      <c r="I26" s="375">
        <v>0</v>
      </c>
      <c r="J26" s="376">
        <f t="shared" si="4"/>
        <v>0</v>
      </c>
      <c r="K26" s="375">
        <v>0</v>
      </c>
      <c r="L26" s="375">
        <v>0</v>
      </c>
      <c r="M26" s="376">
        <f aca="true" t="shared" si="9" ref="M26:M36">N26+O26</f>
        <v>219</v>
      </c>
      <c r="N26" s="375">
        <v>219</v>
      </c>
      <c r="O26" s="122">
        <v>0</v>
      </c>
      <c r="P26" s="153">
        <f t="shared" si="6"/>
        <v>0</v>
      </c>
      <c r="Q26" s="374">
        <v>0</v>
      </c>
      <c r="R26" s="375">
        <v>0</v>
      </c>
      <c r="S26" s="122">
        <v>0</v>
      </c>
      <c r="T26" s="376">
        <f t="shared" si="7"/>
        <v>0</v>
      </c>
      <c r="U26" s="122">
        <v>0</v>
      </c>
      <c r="V26" s="122">
        <v>0</v>
      </c>
      <c r="W26" s="122">
        <v>0</v>
      </c>
      <c r="X26" s="122">
        <v>0</v>
      </c>
    </row>
    <row r="27" spans="1:24" ht="15.75">
      <c r="A27" s="639">
        <v>12</v>
      </c>
      <c r="B27" s="111" t="s">
        <v>357</v>
      </c>
      <c r="C27" s="101">
        <f t="shared" si="2"/>
        <v>559</v>
      </c>
      <c r="D27" s="377">
        <v>51</v>
      </c>
      <c r="E27" s="374">
        <v>508</v>
      </c>
      <c r="F27" s="153">
        <f t="shared" si="8"/>
        <v>0</v>
      </c>
      <c r="G27" s="122">
        <v>0</v>
      </c>
      <c r="H27" s="375">
        <v>0</v>
      </c>
      <c r="I27" s="375">
        <v>0</v>
      </c>
      <c r="J27" s="376">
        <f t="shared" si="4"/>
        <v>0</v>
      </c>
      <c r="K27" s="375">
        <v>0</v>
      </c>
      <c r="L27" s="375">
        <v>0</v>
      </c>
      <c r="M27" s="376">
        <f t="shared" si="9"/>
        <v>932</v>
      </c>
      <c r="N27" s="375">
        <f>55+877</f>
        <v>932</v>
      </c>
      <c r="O27" s="122">
        <v>0</v>
      </c>
      <c r="P27" s="153">
        <f t="shared" si="6"/>
        <v>22</v>
      </c>
      <c r="Q27" s="374">
        <v>22</v>
      </c>
      <c r="R27" s="375">
        <v>0</v>
      </c>
      <c r="S27" s="122">
        <v>0</v>
      </c>
      <c r="T27" s="376">
        <f t="shared" si="7"/>
        <v>22</v>
      </c>
      <c r="U27" s="122"/>
      <c r="V27" s="122">
        <v>22</v>
      </c>
      <c r="W27" s="122">
        <v>0</v>
      </c>
      <c r="X27" s="122">
        <v>0</v>
      </c>
    </row>
    <row r="28" spans="1:24" ht="31.5">
      <c r="A28" s="639">
        <v>13</v>
      </c>
      <c r="B28" s="113" t="s">
        <v>358</v>
      </c>
      <c r="C28" s="101">
        <f t="shared" si="2"/>
        <v>33</v>
      </c>
      <c r="D28" s="377">
        <v>33</v>
      </c>
      <c r="E28" s="374">
        <v>0</v>
      </c>
      <c r="F28" s="153">
        <f t="shared" si="8"/>
        <v>0</v>
      </c>
      <c r="G28" s="122">
        <v>0</v>
      </c>
      <c r="H28" s="375">
        <v>0</v>
      </c>
      <c r="I28" s="375">
        <v>0</v>
      </c>
      <c r="J28" s="376">
        <f t="shared" si="4"/>
        <v>0</v>
      </c>
      <c r="K28" s="375">
        <v>0</v>
      </c>
      <c r="L28" s="375">
        <v>0</v>
      </c>
      <c r="M28" s="376">
        <v>60</v>
      </c>
      <c r="N28" s="375"/>
      <c r="O28" s="122"/>
      <c r="P28" s="153">
        <f t="shared" si="6"/>
        <v>16</v>
      </c>
      <c r="Q28" s="374">
        <v>16</v>
      </c>
      <c r="R28" s="375">
        <v>5</v>
      </c>
      <c r="S28" s="122"/>
      <c r="T28" s="376">
        <f t="shared" si="7"/>
        <v>0</v>
      </c>
      <c r="U28" s="122"/>
      <c r="V28" s="122"/>
      <c r="W28" s="122"/>
      <c r="X28" s="122"/>
    </row>
    <row r="29" spans="1:24" ht="31.5">
      <c r="A29" s="639">
        <v>14</v>
      </c>
      <c r="B29" s="111" t="s">
        <v>359</v>
      </c>
      <c r="C29" s="101">
        <f t="shared" si="2"/>
        <v>6</v>
      </c>
      <c r="D29" s="377">
        <v>6</v>
      </c>
      <c r="E29" s="374">
        <v>0</v>
      </c>
      <c r="F29" s="153">
        <f t="shared" si="8"/>
        <v>0</v>
      </c>
      <c r="G29" s="122">
        <v>0</v>
      </c>
      <c r="H29" s="375">
        <v>0</v>
      </c>
      <c r="I29" s="375">
        <v>0</v>
      </c>
      <c r="J29" s="376">
        <f t="shared" si="4"/>
        <v>0</v>
      </c>
      <c r="K29" s="375">
        <v>0</v>
      </c>
      <c r="L29" s="375">
        <v>0</v>
      </c>
      <c r="M29" s="376">
        <f t="shared" si="9"/>
        <v>0</v>
      </c>
      <c r="N29" s="375">
        <v>0</v>
      </c>
      <c r="O29" s="122">
        <v>0</v>
      </c>
      <c r="P29" s="153">
        <f t="shared" si="6"/>
        <v>0</v>
      </c>
      <c r="Q29" s="374">
        <v>0</v>
      </c>
      <c r="R29" s="375">
        <v>0</v>
      </c>
      <c r="S29" s="122">
        <v>0</v>
      </c>
      <c r="T29" s="376">
        <f t="shared" si="7"/>
        <v>0</v>
      </c>
      <c r="U29" s="122">
        <v>0</v>
      </c>
      <c r="V29" s="122">
        <v>0</v>
      </c>
      <c r="W29" s="122">
        <v>0</v>
      </c>
      <c r="X29" s="122">
        <v>0</v>
      </c>
    </row>
    <row r="30" spans="1:24" ht="15.75">
      <c r="A30" s="639">
        <v>15</v>
      </c>
      <c r="B30" s="113" t="s">
        <v>485</v>
      </c>
      <c r="C30" s="101">
        <f t="shared" si="2"/>
        <v>20</v>
      </c>
      <c r="D30" s="672">
        <v>20</v>
      </c>
      <c r="E30" s="672"/>
      <c r="F30" s="153">
        <f t="shared" si="8"/>
        <v>0</v>
      </c>
      <c r="G30" s="122">
        <v>0</v>
      </c>
      <c r="H30" s="375">
        <v>0</v>
      </c>
      <c r="I30" s="375">
        <v>0</v>
      </c>
      <c r="J30" s="376">
        <f t="shared" si="4"/>
        <v>0</v>
      </c>
      <c r="K30" s="375">
        <v>0</v>
      </c>
      <c r="L30" s="375">
        <v>0</v>
      </c>
      <c r="M30" s="376">
        <f t="shared" si="9"/>
        <v>1983</v>
      </c>
      <c r="N30" s="273">
        <v>1975</v>
      </c>
      <c r="O30" s="760">
        <v>8</v>
      </c>
      <c r="P30" s="153">
        <f t="shared" si="6"/>
        <v>388</v>
      </c>
      <c r="Q30" s="374">
        <v>382</v>
      </c>
      <c r="R30" s="375">
        <v>81</v>
      </c>
      <c r="S30" s="122">
        <v>6</v>
      </c>
      <c r="T30" s="376">
        <f t="shared" si="7"/>
        <v>438</v>
      </c>
      <c r="U30" s="122"/>
      <c r="V30" s="122">
        <v>438</v>
      </c>
      <c r="W30" s="122">
        <v>226</v>
      </c>
      <c r="X30" s="122">
        <v>12</v>
      </c>
    </row>
    <row r="31" spans="1:24" ht="31.5">
      <c r="A31" s="639">
        <v>16</v>
      </c>
      <c r="B31" s="111" t="s">
        <v>486</v>
      </c>
      <c r="C31" s="101">
        <f t="shared" si="2"/>
        <v>1</v>
      </c>
      <c r="D31" s="377">
        <v>1</v>
      </c>
      <c r="E31" s="374"/>
      <c r="F31" s="153">
        <f t="shared" si="8"/>
        <v>1</v>
      </c>
      <c r="G31" s="122">
        <v>1</v>
      </c>
      <c r="H31" s="375"/>
      <c r="I31" s="375"/>
      <c r="J31" s="376">
        <f t="shared" si="4"/>
        <v>1</v>
      </c>
      <c r="K31" s="375"/>
      <c r="L31" s="375">
        <v>1</v>
      </c>
      <c r="M31" s="376">
        <f t="shared" si="9"/>
        <v>30</v>
      </c>
      <c r="N31" s="375"/>
      <c r="O31" s="122">
        <v>30</v>
      </c>
      <c r="P31" s="8">
        <v>30</v>
      </c>
      <c r="Q31" s="374"/>
      <c r="R31" s="375"/>
      <c r="S31" s="122"/>
      <c r="T31" s="376">
        <f t="shared" si="7"/>
        <v>0</v>
      </c>
      <c r="U31" s="122"/>
      <c r="V31" s="122">
        <v>0</v>
      </c>
      <c r="W31" s="122"/>
      <c r="X31" s="122"/>
    </row>
    <row r="32" spans="1:24" ht="15.75">
      <c r="A32" s="639">
        <v>17</v>
      </c>
      <c r="B32" s="111" t="s">
        <v>487</v>
      </c>
      <c r="C32" s="101">
        <f t="shared" si="2"/>
        <v>8</v>
      </c>
      <c r="D32" s="377">
        <v>8</v>
      </c>
      <c r="E32" s="374">
        <v>0</v>
      </c>
      <c r="F32" s="153">
        <f t="shared" si="8"/>
        <v>0</v>
      </c>
      <c r="G32" s="122">
        <v>0</v>
      </c>
      <c r="H32" s="375">
        <v>0</v>
      </c>
      <c r="I32" s="375">
        <v>0</v>
      </c>
      <c r="J32" s="376">
        <f t="shared" si="4"/>
        <v>0</v>
      </c>
      <c r="K32" s="375">
        <v>0</v>
      </c>
      <c r="L32" s="375">
        <v>0</v>
      </c>
      <c r="M32" s="376">
        <f t="shared" si="9"/>
        <v>148</v>
      </c>
      <c r="N32" s="375">
        <v>134</v>
      </c>
      <c r="O32" s="122">
        <v>14</v>
      </c>
      <c r="P32" s="153">
        <f>Q32+S32</f>
        <v>1</v>
      </c>
      <c r="Q32" s="374">
        <v>1</v>
      </c>
      <c r="R32" s="375">
        <v>1</v>
      </c>
      <c r="S32" s="122">
        <v>0</v>
      </c>
      <c r="T32" s="376">
        <f t="shared" si="7"/>
        <v>1</v>
      </c>
      <c r="U32" s="122"/>
      <c r="V32" s="122">
        <v>1</v>
      </c>
      <c r="W32" s="122"/>
      <c r="X32" s="122"/>
    </row>
    <row r="33" spans="1:25" ht="15.75">
      <c r="A33" s="639">
        <v>18</v>
      </c>
      <c r="B33" s="111" t="s">
        <v>360</v>
      </c>
      <c r="C33" s="101">
        <f t="shared" si="2"/>
        <v>26</v>
      </c>
      <c r="D33" s="377">
        <v>26</v>
      </c>
      <c r="E33" s="374">
        <v>0</v>
      </c>
      <c r="F33" s="153">
        <f t="shared" si="8"/>
        <v>1</v>
      </c>
      <c r="G33" s="390">
        <v>1</v>
      </c>
      <c r="H33" s="375">
        <v>0</v>
      </c>
      <c r="I33" s="375">
        <v>0</v>
      </c>
      <c r="J33" s="376">
        <f t="shared" si="4"/>
        <v>0</v>
      </c>
      <c r="K33" s="375">
        <v>0</v>
      </c>
      <c r="L33" s="375">
        <v>0</v>
      </c>
      <c r="M33" s="376">
        <f t="shared" si="9"/>
        <v>5</v>
      </c>
      <c r="N33" s="375">
        <v>5</v>
      </c>
      <c r="O33" s="122"/>
      <c r="P33" s="153">
        <f>Q33+S33</f>
        <v>0</v>
      </c>
      <c r="Q33" s="374">
        <v>0</v>
      </c>
      <c r="R33" s="375">
        <v>0</v>
      </c>
      <c r="S33" s="122">
        <v>0</v>
      </c>
      <c r="T33" s="376">
        <f t="shared" si="7"/>
        <v>0</v>
      </c>
      <c r="U33" s="122">
        <v>0</v>
      </c>
      <c r="V33" s="122">
        <v>0</v>
      </c>
      <c r="W33" s="122">
        <v>0</v>
      </c>
      <c r="X33" s="122">
        <v>0</v>
      </c>
      <c r="Y33" s="72" t="s">
        <v>419</v>
      </c>
    </row>
    <row r="34" spans="1:24" ht="31.5">
      <c r="A34" s="639">
        <v>19</v>
      </c>
      <c r="B34" s="111" t="s">
        <v>488</v>
      </c>
      <c r="C34" s="101">
        <f t="shared" si="2"/>
        <v>0</v>
      </c>
      <c r="D34" s="377"/>
      <c r="E34" s="374"/>
      <c r="F34" s="153">
        <f t="shared" si="8"/>
        <v>0</v>
      </c>
      <c r="G34" s="122"/>
      <c r="H34" s="375"/>
      <c r="I34" s="375"/>
      <c r="J34" s="376">
        <f t="shared" si="4"/>
        <v>0</v>
      </c>
      <c r="K34" s="375"/>
      <c r="L34" s="375"/>
      <c r="M34" s="376">
        <f t="shared" si="9"/>
        <v>0</v>
      </c>
      <c r="N34" s="375"/>
      <c r="O34" s="122"/>
      <c r="P34" s="153">
        <f>Q34+S34</f>
        <v>0</v>
      </c>
      <c r="Q34" s="374"/>
      <c r="R34" s="375"/>
      <c r="S34" s="122"/>
      <c r="T34" s="376">
        <f t="shared" si="7"/>
        <v>0</v>
      </c>
      <c r="U34" s="122"/>
      <c r="V34" s="122"/>
      <c r="W34" s="122"/>
      <c r="X34" s="122"/>
    </row>
    <row r="35" spans="1:24" ht="15.75">
      <c r="A35" s="639">
        <v>20</v>
      </c>
      <c r="B35" s="114" t="s">
        <v>361</v>
      </c>
      <c r="C35" s="101">
        <f t="shared" si="2"/>
        <v>2</v>
      </c>
      <c r="D35" s="377">
        <v>2</v>
      </c>
      <c r="E35" s="374"/>
      <c r="F35" s="153">
        <f t="shared" si="8"/>
        <v>0</v>
      </c>
      <c r="G35" s="122">
        <v>0</v>
      </c>
      <c r="H35" s="375">
        <v>0</v>
      </c>
      <c r="I35" s="375">
        <v>0</v>
      </c>
      <c r="J35" s="376">
        <f t="shared" si="4"/>
        <v>0</v>
      </c>
      <c r="K35" s="375"/>
      <c r="L35" s="375"/>
      <c r="M35" s="376">
        <f t="shared" si="9"/>
        <v>0</v>
      </c>
      <c r="N35" s="375"/>
      <c r="O35" s="122"/>
      <c r="P35" s="153">
        <f>Q35+S35</f>
        <v>0</v>
      </c>
      <c r="Q35" s="374"/>
      <c r="R35" s="375"/>
      <c r="S35" s="122"/>
      <c r="T35" s="376">
        <f t="shared" si="7"/>
        <v>0</v>
      </c>
      <c r="U35" s="122"/>
      <c r="V35" s="122"/>
      <c r="W35" s="122"/>
      <c r="X35" s="122"/>
    </row>
    <row r="36" spans="1:24" ht="25.5" customHeight="1">
      <c r="A36" s="639">
        <v>21</v>
      </c>
      <c r="B36" s="113" t="s">
        <v>489</v>
      </c>
      <c r="C36" s="101">
        <f t="shared" si="2"/>
        <v>1</v>
      </c>
      <c r="D36" s="377">
        <v>1</v>
      </c>
      <c r="E36" s="374"/>
      <c r="F36" s="153">
        <f t="shared" si="8"/>
        <v>0</v>
      </c>
      <c r="G36" s="122">
        <v>0</v>
      </c>
      <c r="H36" s="375">
        <v>0</v>
      </c>
      <c r="I36" s="375">
        <v>0</v>
      </c>
      <c r="J36" s="376">
        <f t="shared" si="4"/>
        <v>0</v>
      </c>
      <c r="K36" s="375">
        <v>0</v>
      </c>
      <c r="L36" s="375">
        <v>0</v>
      </c>
      <c r="M36" s="376">
        <f t="shared" si="9"/>
        <v>1</v>
      </c>
      <c r="N36" s="375">
        <v>1</v>
      </c>
      <c r="O36" s="122">
        <v>0</v>
      </c>
      <c r="P36" s="153">
        <f>Q36+S36</f>
        <v>0</v>
      </c>
      <c r="Q36" s="374">
        <v>0</v>
      </c>
      <c r="R36" s="375">
        <v>0</v>
      </c>
      <c r="S36" s="122">
        <v>0</v>
      </c>
      <c r="T36" s="376">
        <f t="shared" si="7"/>
        <v>0</v>
      </c>
      <c r="U36" s="122">
        <v>0</v>
      </c>
      <c r="V36" s="122">
        <v>0</v>
      </c>
      <c r="W36" s="122">
        <v>0</v>
      </c>
      <c r="X36" s="122">
        <v>0</v>
      </c>
    </row>
    <row r="37" spans="1:25" s="22" customFormat="1" ht="31.5" customHeight="1">
      <c r="A37" s="851" t="s">
        <v>327</v>
      </c>
      <c r="B37" s="858"/>
      <c r="C37" s="382">
        <f aca="true" t="shared" si="10" ref="C37:X37">SUM(C38:C100)</f>
        <v>486005</v>
      </c>
      <c r="D37" s="382">
        <f t="shared" si="10"/>
        <v>20243</v>
      </c>
      <c r="E37" s="382">
        <f t="shared" si="10"/>
        <v>465762</v>
      </c>
      <c r="F37" s="382">
        <f t="shared" si="10"/>
        <v>2669</v>
      </c>
      <c r="G37" s="382">
        <f t="shared" si="10"/>
        <v>1605</v>
      </c>
      <c r="H37" s="382">
        <f t="shared" si="10"/>
        <v>252</v>
      </c>
      <c r="I37" s="382">
        <f t="shared" si="10"/>
        <v>1064</v>
      </c>
      <c r="J37" s="382">
        <f t="shared" si="10"/>
        <v>3934.5</v>
      </c>
      <c r="K37" s="382">
        <f t="shared" si="10"/>
        <v>1333.5</v>
      </c>
      <c r="L37" s="382">
        <f t="shared" si="10"/>
        <v>2601</v>
      </c>
      <c r="M37" s="382">
        <f t="shared" si="10"/>
        <v>279650</v>
      </c>
      <c r="N37" s="382">
        <f t="shared" si="10"/>
        <v>18528</v>
      </c>
      <c r="O37" s="382">
        <f t="shared" si="10"/>
        <v>261122</v>
      </c>
      <c r="P37" s="382">
        <f t="shared" si="10"/>
        <v>3882</v>
      </c>
      <c r="Q37" s="382">
        <f t="shared" si="10"/>
        <v>2872</v>
      </c>
      <c r="R37" s="382">
        <f t="shared" si="10"/>
        <v>666</v>
      </c>
      <c r="S37" s="382">
        <f t="shared" si="10"/>
        <v>1010</v>
      </c>
      <c r="T37" s="382">
        <f t="shared" si="10"/>
        <v>5202</v>
      </c>
      <c r="U37" s="382">
        <f t="shared" si="10"/>
        <v>1545</v>
      </c>
      <c r="V37" s="382">
        <f t="shared" si="10"/>
        <v>3657</v>
      </c>
      <c r="W37" s="382">
        <f t="shared" si="10"/>
        <v>2998</v>
      </c>
      <c r="X37" s="382">
        <f t="shared" si="10"/>
        <v>57</v>
      </c>
      <c r="Y37" s="73"/>
    </row>
    <row r="38" spans="1:24" ht="23.25" customHeight="1">
      <c r="A38" s="59">
        <v>1</v>
      </c>
      <c r="B38" s="69" t="s">
        <v>449</v>
      </c>
      <c r="C38" s="101">
        <f aca="true" t="shared" si="11" ref="C38:C69">D38+E38</f>
        <v>6319</v>
      </c>
      <c r="D38" s="370">
        <v>384</v>
      </c>
      <c r="E38" s="122">
        <v>5935</v>
      </c>
      <c r="F38" s="153">
        <f aca="true" t="shared" si="12" ref="F38:F70">G38+I38</f>
        <v>19</v>
      </c>
      <c r="G38" s="122">
        <v>11</v>
      </c>
      <c r="H38" s="122">
        <f>3+1+0</f>
        <v>4</v>
      </c>
      <c r="I38" s="122">
        <v>8</v>
      </c>
      <c r="J38" s="384">
        <f aca="true" t="shared" si="13" ref="J38:J69">K38+L38</f>
        <v>16</v>
      </c>
      <c r="K38" s="122">
        <v>3</v>
      </c>
      <c r="L38" s="122">
        <v>13</v>
      </c>
      <c r="M38" s="376">
        <f aca="true" t="shared" si="14" ref="M38:M69">N38+O38</f>
        <v>692</v>
      </c>
      <c r="N38" s="122">
        <v>323</v>
      </c>
      <c r="O38" s="122">
        <v>369</v>
      </c>
      <c r="P38" s="153">
        <f aca="true" t="shared" si="15" ref="P38:P51">Q38+S38</f>
        <v>26</v>
      </c>
      <c r="Q38" s="122">
        <v>15</v>
      </c>
      <c r="R38" s="122">
        <f>1+4+2</f>
        <v>7</v>
      </c>
      <c r="S38" s="122">
        <v>11</v>
      </c>
      <c r="T38" s="376">
        <f aca="true" t="shared" si="16" ref="T38:T69">U38+V38</f>
        <v>19</v>
      </c>
      <c r="U38" s="122">
        <v>1</v>
      </c>
      <c r="V38" s="122">
        <v>18</v>
      </c>
      <c r="W38" s="122">
        <v>15</v>
      </c>
      <c r="X38" s="122">
        <v>0</v>
      </c>
    </row>
    <row r="39" spans="1:24" ht="23.25" customHeight="1">
      <c r="A39" s="59">
        <v>2</v>
      </c>
      <c r="B39" s="69" t="s">
        <v>450</v>
      </c>
      <c r="C39" s="101">
        <f t="shared" si="11"/>
        <v>14603</v>
      </c>
      <c r="D39" s="370">
        <v>250</v>
      </c>
      <c r="E39" s="122">
        <v>14353</v>
      </c>
      <c r="F39" s="153">
        <f t="shared" si="12"/>
        <v>7</v>
      </c>
      <c r="G39" s="122">
        <v>5</v>
      </c>
      <c r="H39" s="122">
        <f>0+1+0</f>
        <v>1</v>
      </c>
      <c r="I39" s="122">
        <v>2</v>
      </c>
      <c r="J39" s="384">
        <f t="shared" si="13"/>
        <v>10.5</v>
      </c>
      <c r="K39" s="385">
        <f>L39/4*2</f>
        <v>3.5</v>
      </c>
      <c r="L39" s="122">
        <v>7</v>
      </c>
      <c r="M39" s="376">
        <f t="shared" si="14"/>
        <v>6935</v>
      </c>
      <c r="N39" s="122">
        <v>71</v>
      </c>
      <c r="O39" s="122">
        <v>6864</v>
      </c>
      <c r="P39" s="153">
        <f t="shared" si="15"/>
        <v>9</v>
      </c>
      <c r="Q39" s="122">
        <v>9</v>
      </c>
      <c r="R39" s="122">
        <f>0+0+0</f>
        <v>0</v>
      </c>
      <c r="S39" s="122">
        <v>0</v>
      </c>
      <c r="T39" s="376">
        <f t="shared" si="16"/>
        <v>13.5</v>
      </c>
      <c r="U39" s="385">
        <f>V39/4*2</f>
        <v>4.5</v>
      </c>
      <c r="V39" s="122">
        <v>9</v>
      </c>
      <c r="W39" s="122">
        <v>0</v>
      </c>
      <c r="X39" s="122">
        <v>0</v>
      </c>
    </row>
    <row r="40" spans="1:25" ht="23.25" customHeight="1">
      <c r="A40" s="59">
        <v>3</v>
      </c>
      <c r="B40" s="69" t="s">
        <v>451</v>
      </c>
      <c r="C40" s="101">
        <f t="shared" si="11"/>
        <v>276</v>
      </c>
      <c r="D40" s="370">
        <v>229</v>
      </c>
      <c r="E40" s="122">
        <v>47</v>
      </c>
      <c r="F40" s="386">
        <f t="shared" si="12"/>
        <v>143</v>
      </c>
      <c r="G40" s="122">
        <v>96</v>
      </c>
      <c r="H40" s="122">
        <f>6+3+2</f>
        <v>11</v>
      </c>
      <c r="I40" s="122">
        <v>47</v>
      </c>
      <c r="J40" s="384">
        <f t="shared" si="13"/>
        <v>214.5</v>
      </c>
      <c r="K40" s="385">
        <f>L40/4*2</f>
        <v>71.5</v>
      </c>
      <c r="L40" s="122">
        <v>143</v>
      </c>
      <c r="M40" s="376">
        <f t="shared" si="14"/>
        <v>175</v>
      </c>
      <c r="N40" s="122">
        <v>138</v>
      </c>
      <c r="O40" s="122">
        <v>37</v>
      </c>
      <c r="P40" s="153">
        <f t="shared" si="15"/>
        <v>133</v>
      </c>
      <c r="Q40" s="122">
        <v>96</v>
      </c>
      <c r="R40" s="122">
        <f>5+1+3</f>
        <v>9</v>
      </c>
      <c r="S40" s="122">
        <v>37</v>
      </c>
      <c r="T40" s="376">
        <f t="shared" si="16"/>
        <v>199.5</v>
      </c>
      <c r="U40" s="385">
        <f>V40/4*2</f>
        <v>66.5</v>
      </c>
      <c r="V40" s="122">
        <v>133</v>
      </c>
      <c r="W40" s="122">
        <v>78</v>
      </c>
      <c r="X40" s="122">
        <v>0</v>
      </c>
      <c r="Y40" s="72" t="s">
        <v>214</v>
      </c>
    </row>
    <row r="41" spans="1:24" ht="23.25" customHeight="1">
      <c r="A41" s="59">
        <v>4</v>
      </c>
      <c r="B41" s="69" t="s">
        <v>452</v>
      </c>
      <c r="C41" s="101">
        <f t="shared" si="11"/>
        <v>376</v>
      </c>
      <c r="D41" s="370">
        <v>148</v>
      </c>
      <c r="E41" s="122">
        <v>228</v>
      </c>
      <c r="F41" s="153">
        <f t="shared" si="12"/>
        <v>12</v>
      </c>
      <c r="G41" s="122">
        <v>12</v>
      </c>
      <c r="H41" s="122">
        <f>0+0+1</f>
        <v>1</v>
      </c>
      <c r="I41" s="122">
        <v>0</v>
      </c>
      <c r="J41" s="384">
        <f t="shared" si="13"/>
        <v>10.5</v>
      </c>
      <c r="K41" s="385">
        <f>L41/4*2</f>
        <v>3.5</v>
      </c>
      <c r="L41" s="122">
        <v>7</v>
      </c>
      <c r="M41" s="376">
        <f t="shared" si="14"/>
        <v>275</v>
      </c>
      <c r="N41" s="122">
        <v>228</v>
      </c>
      <c r="O41" s="122">
        <v>47</v>
      </c>
      <c r="P41" s="153">
        <f t="shared" si="15"/>
        <v>28</v>
      </c>
      <c r="Q41" s="122">
        <v>26</v>
      </c>
      <c r="R41" s="122">
        <v>0</v>
      </c>
      <c r="S41" s="122">
        <v>2</v>
      </c>
      <c r="T41" s="376">
        <f t="shared" si="16"/>
        <v>4.5</v>
      </c>
      <c r="U41" s="385">
        <f>V41/4*2</f>
        <v>1.5</v>
      </c>
      <c r="V41" s="122">
        <v>3</v>
      </c>
      <c r="W41" s="122">
        <v>3</v>
      </c>
      <c r="X41" s="122">
        <v>0</v>
      </c>
    </row>
    <row r="42" spans="1:24" ht="23.25" customHeight="1">
      <c r="A42" s="59">
        <v>5</v>
      </c>
      <c r="B42" s="69" t="s">
        <v>453</v>
      </c>
      <c r="C42" s="101">
        <f t="shared" si="11"/>
        <v>780</v>
      </c>
      <c r="D42" s="370">
        <v>107</v>
      </c>
      <c r="E42" s="122">
        <v>673</v>
      </c>
      <c r="F42" s="153">
        <f t="shared" si="12"/>
        <v>26</v>
      </c>
      <c r="G42" s="122">
        <v>26</v>
      </c>
      <c r="H42" s="122">
        <f>0+0+5</f>
        <v>5</v>
      </c>
      <c r="I42" s="122">
        <v>0</v>
      </c>
      <c r="J42" s="384">
        <f t="shared" si="13"/>
        <v>39</v>
      </c>
      <c r="K42" s="385">
        <f>L42/4*2</f>
        <v>13</v>
      </c>
      <c r="L42" s="122">
        <v>26</v>
      </c>
      <c r="M42" s="376">
        <f t="shared" si="14"/>
        <v>35</v>
      </c>
      <c r="N42" s="122">
        <v>35</v>
      </c>
      <c r="O42" s="122">
        <v>0</v>
      </c>
      <c r="P42" s="153">
        <f t="shared" si="15"/>
        <v>22</v>
      </c>
      <c r="Q42" s="122">
        <v>22</v>
      </c>
      <c r="R42" s="122">
        <f>0+0+9</f>
        <v>9</v>
      </c>
      <c r="S42" s="122">
        <v>0</v>
      </c>
      <c r="T42" s="376">
        <f t="shared" si="16"/>
        <v>33</v>
      </c>
      <c r="U42" s="385">
        <f>V42/4*2</f>
        <v>11</v>
      </c>
      <c r="V42" s="122">
        <v>22</v>
      </c>
      <c r="W42" s="122">
        <v>18</v>
      </c>
      <c r="X42" s="122">
        <v>0</v>
      </c>
    </row>
    <row r="43" spans="1:24" ht="23.25" customHeight="1">
      <c r="A43" s="59">
        <v>6</v>
      </c>
      <c r="B43" s="69" t="s">
        <v>454</v>
      </c>
      <c r="C43" s="101">
        <f t="shared" si="11"/>
        <v>3963</v>
      </c>
      <c r="D43" s="370">
        <v>14</v>
      </c>
      <c r="E43" s="122">
        <v>3949</v>
      </c>
      <c r="F43" s="153">
        <f t="shared" si="12"/>
        <v>15</v>
      </c>
      <c r="G43" s="122">
        <v>13</v>
      </c>
      <c r="H43" s="122">
        <f>0+1+1</f>
        <v>2</v>
      </c>
      <c r="I43" s="122">
        <v>2</v>
      </c>
      <c r="J43" s="384">
        <f t="shared" si="13"/>
        <v>22.5</v>
      </c>
      <c r="K43" s="387">
        <f>L43/4*2</f>
        <v>7.5</v>
      </c>
      <c r="L43" s="122">
        <v>15</v>
      </c>
      <c r="M43" s="376">
        <f t="shared" si="14"/>
        <v>53</v>
      </c>
      <c r="N43" s="122">
        <v>5</v>
      </c>
      <c r="O43" s="122">
        <v>48</v>
      </c>
      <c r="P43" s="153">
        <f t="shared" si="15"/>
        <v>17</v>
      </c>
      <c r="Q43" s="122">
        <v>2</v>
      </c>
      <c r="R43" s="122">
        <f>1+0+0</f>
        <v>1</v>
      </c>
      <c r="S43" s="122">
        <v>15</v>
      </c>
      <c r="T43" s="376">
        <f t="shared" si="16"/>
        <v>25.5</v>
      </c>
      <c r="U43" s="387">
        <f>V43/4*2</f>
        <v>8.5</v>
      </c>
      <c r="V43" s="122">
        <v>17</v>
      </c>
      <c r="W43" s="122">
        <v>17</v>
      </c>
      <c r="X43" s="122">
        <v>0</v>
      </c>
    </row>
    <row r="44" spans="1:24" ht="23.25" customHeight="1">
      <c r="A44" s="59">
        <v>7</v>
      </c>
      <c r="B44" s="69" t="s">
        <v>455</v>
      </c>
      <c r="C44" s="101">
        <f t="shared" si="11"/>
        <v>432</v>
      </c>
      <c r="D44" s="370">
        <v>432</v>
      </c>
      <c r="E44" s="122">
        <v>0</v>
      </c>
      <c r="F44" s="153">
        <f t="shared" si="12"/>
        <v>5</v>
      </c>
      <c r="G44" s="122">
        <v>5</v>
      </c>
      <c r="H44" s="122">
        <f>0+0+0</f>
        <v>0</v>
      </c>
      <c r="I44" s="122">
        <v>0</v>
      </c>
      <c r="J44" s="384">
        <f t="shared" si="13"/>
        <v>7</v>
      </c>
      <c r="K44" s="122">
        <v>2</v>
      </c>
      <c r="L44" s="122">
        <v>5</v>
      </c>
      <c r="M44" s="376">
        <f t="shared" si="14"/>
        <v>327</v>
      </c>
      <c r="N44" s="122">
        <v>308</v>
      </c>
      <c r="O44" s="122">
        <v>19</v>
      </c>
      <c r="P44" s="153">
        <f t="shared" si="15"/>
        <v>29</v>
      </c>
      <c r="Q44" s="122">
        <v>28</v>
      </c>
      <c r="R44" s="122">
        <v>0</v>
      </c>
      <c r="S44" s="122">
        <v>1</v>
      </c>
      <c r="T44" s="376">
        <f t="shared" si="16"/>
        <v>13</v>
      </c>
      <c r="U44" s="122">
        <v>4</v>
      </c>
      <c r="V44" s="122">
        <v>9</v>
      </c>
      <c r="W44" s="122">
        <v>9</v>
      </c>
      <c r="X44" s="122">
        <v>0</v>
      </c>
    </row>
    <row r="45" spans="1:24" ht="23.25" customHeight="1">
      <c r="A45" s="59">
        <v>8</v>
      </c>
      <c r="B45" s="69" t="s">
        <v>456</v>
      </c>
      <c r="C45" s="101">
        <f t="shared" si="11"/>
        <v>20861</v>
      </c>
      <c r="D45" s="370">
        <v>665</v>
      </c>
      <c r="E45" s="122">
        <v>20196</v>
      </c>
      <c r="F45" s="153">
        <f t="shared" si="12"/>
        <v>18</v>
      </c>
      <c r="G45" s="122">
        <v>14</v>
      </c>
      <c r="H45" s="122">
        <f>1+0+10</f>
        <v>11</v>
      </c>
      <c r="I45" s="122">
        <v>4</v>
      </c>
      <c r="J45" s="384">
        <f t="shared" si="13"/>
        <v>27</v>
      </c>
      <c r="K45" s="385">
        <f>L45/4*2</f>
        <v>9</v>
      </c>
      <c r="L45" s="122">
        <v>18</v>
      </c>
      <c r="M45" s="376">
        <f t="shared" si="14"/>
        <v>4248</v>
      </c>
      <c r="N45" s="122">
        <v>498</v>
      </c>
      <c r="O45" s="122">
        <v>3750</v>
      </c>
      <c r="P45" s="153">
        <f t="shared" si="15"/>
        <v>48</v>
      </c>
      <c r="Q45" s="122">
        <v>45</v>
      </c>
      <c r="R45" s="122">
        <f>16+1+13</f>
        <v>30</v>
      </c>
      <c r="S45" s="122">
        <v>3</v>
      </c>
      <c r="T45" s="376">
        <f t="shared" si="16"/>
        <v>72</v>
      </c>
      <c r="U45" s="385">
        <f>V45/4*2</f>
        <v>24</v>
      </c>
      <c r="V45" s="122">
        <v>48</v>
      </c>
      <c r="W45" s="122">
        <v>45</v>
      </c>
      <c r="X45" s="122">
        <v>0</v>
      </c>
    </row>
    <row r="46" spans="1:24" ht="23.25" customHeight="1">
      <c r="A46" s="59">
        <v>9</v>
      </c>
      <c r="B46" s="69" t="s">
        <v>457</v>
      </c>
      <c r="C46" s="101">
        <f t="shared" si="11"/>
        <v>235</v>
      </c>
      <c r="D46" s="370">
        <v>215</v>
      </c>
      <c r="E46" s="122">
        <v>20</v>
      </c>
      <c r="F46" s="153">
        <f t="shared" si="12"/>
        <v>7</v>
      </c>
      <c r="G46" s="122">
        <v>7</v>
      </c>
      <c r="H46" s="122">
        <f>0+0+4</f>
        <v>4</v>
      </c>
      <c r="I46" s="122">
        <v>0</v>
      </c>
      <c r="J46" s="384">
        <f t="shared" si="13"/>
        <v>124</v>
      </c>
      <c r="K46" s="122">
        <v>117</v>
      </c>
      <c r="L46" s="122">
        <v>7</v>
      </c>
      <c r="M46" s="376">
        <f t="shared" si="14"/>
        <v>191</v>
      </c>
      <c r="N46" s="122">
        <v>184</v>
      </c>
      <c r="O46" s="122">
        <v>7</v>
      </c>
      <c r="P46" s="153">
        <f t="shared" si="15"/>
        <v>12</v>
      </c>
      <c r="Q46" s="122">
        <v>5</v>
      </c>
      <c r="R46" s="122">
        <v>0</v>
      </c>
      <c r="S46" s="122">
        <v>7</v>
      </c>
      <c r="T46" s="376">
        <f t="shared" si="16"/>
        <v>18</v>
      </c>
      <c r="U46" s="385">
        <f>V46/4*2</f>
        <v>6</v>
      </c>
      <c r="V46" s="122">
        <v>12</v>
      </c>
      <c r="W46" s="122">
        <v>12</v>
      </c>
      <c r="X46" s="122">
        <v>0</v>
      </c>
    </row>
    <row r="47" spans="1:25" ht="23.25" customHeight="1">
      <c r="A47" s="59">
        <v>10</v>
      </c>
      <c r="B47" s="69" t="s">
        <v>362</v>
      </c>
      <c r="C47" s="101">
        <f t="shared" si="11"/>
        <v>2992</v>
      </c>
      <c r="D47" s="370">
        <v>74</v>
      </c>
      <c r="E47" s="122">
        <v>2918</v>
      </c>
      <c r="F47" s="388">
        <f t="shared" si="12"/>
        <v>8</v>
      </c>
      <c r="G47" s="122">
        <v>8</v>
      </c>
      <c r="H47" s="122">
        <f>0+0+3</f>
        <v>3</v>
      </c>
      <c r="I47" s="122">
        <v>0</v>
      </c>
      <c r="J47" s="384">
        <f t="shared" si="13"/>
        <v>15</v>
      </c>
      <c r="K47" s="385">
        <f>L47/4*2</f>
        <v>5</v>
      </c>
      <c r="L47" s="389">
        <v>10</v>
      </c>
      <c r="M47" s="376">
        <f t="shared" si="14"/>
        <v>3006</v>
      </c>
      <c r="N47" s="122">
        <v>416</v>
      </c>
      <c r="O47" s="122">
        <v>2590</v>
      </c>
      <c r="P47" s="388">
        <f t="shared" si="15"/>
        <v>75</v>
      </c>
      <c r="Q47" s="122">
        <v>57</v>
      </c>
      <c r="R47" s="122">
        <v>0</v>
      </c>
      <c r="S47" s="122">
        <v>18</v>
      </c>
      <c r="T47" s="376">
        <f t="shared" si="16"/>
        <v>162</v>
      </c>
      <c r="U47" s="385">
        <f>V47/4*2</f>
        <v>54</v>
      </c>
      <c r="V47" s="389">
        <v>108</v>
      </c>
      <c r="W47" s="122">
        <v>57</v>
      </c>
      <c r="X47" s="122">
        <v>0</v>
      </c>
      <c r="Y47" s="72" t="s">
        <v>84</v>
      </c>
    </row>
    <row r="48" spans="1:25" ht="23.25" customHeight="1">
      <c r="A48" s="59">
        <v>11</v>
      </c>
      <c r="B48" s="69" t="s">
        <v>363</v>
      </c>
      <c r="C48" s="101">
        <f t="shared" si="11"/>
        <v>35237</v>
      </c>
      <c r="D48" s="370">
        <v>177</v>
      </c>
      <c r="E48" s="122">
        <v>35060</v>
      </c>
      <c r="F48" s="153">
        <f t="shared" si="12"/>
        <v>8</v>
      </c>
      <c r="G48" s="122">
        <v>8</v>
      </c>
      <c r="H48" s="122">
        <f>0+1+0</f>
        <v>1</v>
      </c>
      <c r="I48" s="122">
        <v>0</v>
      </c>
      <c r="J48" s="384">
        <f t="shared" si="13"/>
        <v>12</v>
      </c>
      <c r="K48" s="385">
        <f>L48/4*2</f>
        <v>4</v>
      </c>
      <c r="L48" s="122">
        <v>8</v>
      </c>
      <c r="M48" s="376">
        <f t="shared" si="14"/>
        <v>10648</v>
      </c>
      <c r="N48" s="122">
        <v>89</v>
      </c>
      <c r="O48" s="122">
        <v>10559</v>
      </c>
      <c r="P48" s="388">
        <f t="shared" si="15"/>
        <v>8</v>
      </c>
      <c r="Q48" s="122">
        <v>8</v>
      </c>
      <c r="R48" s="122">
        <f>1+2+1</f>
        <v>4</v>
      </c>
      <c r="S48" s="122">
        <v>0</v>
      </c>
      <c r="T48" s="376">
        <f t="shared" si="16"/>
        <v>21</v>
      </c>
      <c r="U48" s="385">
        <f>V48/4*2</f>
        <v>7</v>
      </c>
      <c r="V48" s="389">
        <v>14</v>
      </c>
      <c r="W48" s="122">
        <v>12</v>
      </c>
      <c r="X48" s="122">
        <v>0</v>
      </c>
      <c r="Y48" s="72" t="s">
        <v>84</v>
      </c>
    </row>
    <row r="49" spans="1:24" ht="23.25" customHeight="1">
      <c r="A49" s="59">
        <v>12</v>
      </c>
      <c r="B49" s="69" t="s">
        <v>364</v>
      </c>
      <c r="C49" s="101">
        <f t="shared" si="11"/>
        <v>44</v>
      </c>
      <c r="D49" s="370">
        <v>44</v>
      </c>
      <c r="E49" s="122">
        <v>0</v>
      </c>
      <c r="F49" s="153">
        <f t="shared" si="12"/>
        <v>20</v>
      </c>
      <c r="G49" s="122">
        <v>20</v>
      </c>
      <c r="H49" s="122">
        <f>0+0+2</f>
        <v>2</v>
      </c>
      <c r="I49" s="122">
        <v>0</v>
      </c>
      <c r="J49" s="384">
        <f t="shared" si="13"/>
        <v>22</v>
      </c>
      <c r="K49" s="122">
        <v>2</v>
      </c>
      <c r="L49" s="122">
        <v>20</v>
      </c>
      <c r="M49" s="376">
        <f t="shared" si="14"/>
        <v>261</v>
      </c>
      <c r="N49" s="122">
        <v>261</v>
      </c>
      <c r="O49" s="122">
        <v>0</v>
      </c>
      <c r="P49" s="153">
        <f t="shared" si="15"/>
        <v>96</v>
      </c>
      <c r="Q49" s="122">
        <v>96</v>
      </c>
      <c r="R49" s="122">
        <f>0+0+1</f>
        <v>1</v>
      </c>
      <c r="S49" s="122">
        <v>0</v>
      </c>
      <c r="T49" s="376">
        <f t="shared" si="16"/>
        <v>96</v>
      </c>
      <c r="U49" s="122">
        <v>0</v>
      </c>
      <c r="V49" s="122">
        <v>96</v>
      </c>
      <c r="W49" s="122">
        <v>96</v>
      </c>
      <c r="X49" s="122">
        <v>0</v>
      </c>
    </row>
    <row r="50" spans="1:24" ht="23.25" customHeight="1">
      <c r="A50" s="59">
        <v>13</v>
      </c>
      <c r="B50" s="69" t="s">
        <v>365</v>
      </c>
      <c r="C50" s="101">
        <f t="shared" si="11"/>
        <v>255</v>
      </c>
      <c r="D50" s="370">
        <v>14</v>
      </c>
      <c r="E50" s="122">
        <v>241</v>
      </c>
      <c r="F50" s="153">
        <f t="shared" si="12"/>
        <v>3</v>
      </c>
      <c r="G50" s="122">
        <v>3</v>
      </c>
      <c r="H50" s="122">
        <f>0+0+0</f>
        <v>0</v>
      </c>
      <c r="I50" s="122">
        <v>0</v>
      </c>
      <c r="J50" s="384">
        <f t="shared" si="13"/>
        <v>4</v>
      </c>
      <c r="K50" s="122">
        <v>1</v>
      </c>
      <c r="L50" s="122">
        <v>3</v>
      </c>
      <c r="M50" s="376">
        <f t="shared" si="14"/>
        <v>213</v>
      </c>
      <c r="N50" s="122">
        <v>7</v>
      </c>
      <c r="O50" s="122">
        <v>206</v>
      </c>
      <c r="P50" s="153">
        <f t="shared" si="15"/>
        <v>0</v>
      </c>
      <c r="Q50" s="122">
        <v>0</v>
      </c>
      <c r="R50" s="122">
        <v>0</v>
      </c>
      <c r="S50" s="122">
        <v>0</v>
      </c>
      <c r="T50" s="376">
        <f t="shared" si="16"/>
        <v>0</v>
      </c>
      <c r="U50" s="122">
        <f>V50/4*2</f>
        <v>0</v>
      </c>
      <c r="V50" s="122">
        <v>0</v>
      </c>
      <c r="W50" s="122">
        <v>0</v>
      </c>
      <c r="X50" s="122">
        <v>0</v>
      </c>
    </row>
    <row r="51" spans="1:25" ht="23.25" customHeight="1">
      <c r="A51" s="59">
        <v>14</v>
      </c>
      <c r="B51" s="69" t="s">
        <v>366</v>
      </c>
      <c r="C51" s="101">
        <f t="shared" si="11"/>
        <v>109</v>
      </c>
      <c r="D51" s="370">
        <v>33</v>
      </c>
      <c r="E51" s="122">
        <v>76</v>
      </c>
      <c r="F51" s="153">
        <f t="shared" si="12"/>
        <v>0</v>
      </c>
      <c r="G51" s="122">
        <v>0</v>
      </c>
      <c r="H51" s="122">
        <v>0</v>
      </c>
      <c r="I51" s="122">
        <v>0</v>
      </c>
      <c r="J51" s="384">
        <f t="shared" si="13"/>
        <v>0</v>
      </c>
      <c r="K51" s="385">
        <f>L51/4*2</f>
        <v>0</v>
      </c>
      <c r="L51" s="122">
        <v>0</v>
      </c>
      <c r="M51" s="376">
        <f t="shared" si="14"/>
        <v>104</v>
      </c>
      <c r="N51" s="122">
        <v>59</v>
      </c>
      <c r="O51" s="122">
        <v>45</v>
      </c>
      <c r="P51" s="153">
        <f t="shared" si="15"/>
        <v>36</v>
      </c>
      <c r="Q51" s="390">
        <v>36</v>
      </c>
      <c r="R51" s="122">
        <v>0</v>
      </c>
      <c r="S51" s="122">
        <v>0</v>
      </c>
      <c r="T51" s="376">
        <f t="shared" si="16"/>
        <v>10</v>
      </c>
      <c r="U51" s="122">
        <v>0</v>
      </c>
      <c r="V51" s="122">
        <v>10</v>
      </c>
      <c r="W51" s="122">
        <v>0</v>
      </c>
      <c r="X51" s="122">
        <v>0</v>
      </c>
      <c r="Y51" s="72" t="s">
        <v>85</v>
      </c>
    </row>
    <row r="52" spans="1:24" ht="23.25" customHeight="1">
      <c r="A52" s="59">
        <v>15</v>
      </c>
      <c r="B52" s="69" t="s">
        <v>367</v>
      </c>
      <c r="C52" s="101">
        <f t="shared" si="11"/>
        <v>18</v>
      </c>
      <c r="D52" s="370">
        <v>16</v>
      </c>
      <c r="E52" s="122">
        <v>2</v>
      </c>
      <c r="F52" s="153">
        <f t="shared" si="12"/>
        <v>5</v>
      </c>
      <c r="G52" s="122">
        <v>3</v>
      </c>
      <c r="H52" s="122">
        <f>0+0+3</f>
        <v>3</v>
      </c>
      <c r="I52" s="122">
        <v>2</v>
      </c>
      <c r="J52" s="384">
        <f t="shared" si="13"/>
        <v>16</v>
      </c>
      <c r="K52" s="122">
        <v>11</v>
      </c>
      <c r="L52" s="122">
        <v>5</v>
      </c>
      <c r="M52" s="376">
        <f t="shared" si="14"/>
        <v>1</v>
      </c>
      <c r="N52" s="122">
        <v>1</v>
      </c>
      <c r="O52" s="122">
        <v>0</v>
      </c>
      <c r="P52" s="153">
        <v>0</v>
      </c>
      <c r="Q52" s="122">
        <v>0</v>
      </c>
      <c r="R52" s="122">
        <v>0</v>
      </c>
      <c r="S52" s="122">
        <v>0</v>
      </c>
      <c r="T52" s="376">
        <f t="shared" si="16"/>
        <v>0</v>
      </c>
      <c r="U52" s="122">
        <f>V52/4*2</f>
        <v>0</v>
      </c>
      <c r="V52" s="122">
        <v>0</v>
      </c>
      <c r="W52" s="122">
        <v>0</v>
      </c>
      <c r="X52" s="122">
        <v>0</v>
      </c>
    </row>
    <row r="53" spans="1:25" ht="23.25" customHeight="1">
      <c r="A53" s="59">
        <v>16</v>
      </c>
      <c r="B53" s="69" t="s">
        <v>368</v>
      </c>
      <c r="C53" s="101">
        <f t="shared" si="11"/>
        <v>163</v>
      </c>
      <c r="D53" s="370">
        <v>130</v>
      </c>
      <c r="E53" s="122">
        <v>33</v>
      </c>
      <c r="F53" s="153">
        <f t="shared" si="12"/>
        <v>14</v>
      </c>
      <c r="G53" s="122">
        <v>8</v>
      </c>
      <c r="H53" s="122">
        <f>0+0+4</f>
        <v>4</v>
      </c>
      <c r="I53" s="122">
        <v>6</v>
      </c>
      <c r="J53" s="384">
        <f t="shared" si="13"/>
        <v>21</v>
      </c>
      <c r="K53" s="385">
        <f>L53/4*2</f>
        <v>7</v>
      </c>
      <c r="L53" s="122">
        <v>14</v>
      </c>
      <c r="M53" s="376">
        <f t="shared" si="14"/>
        <v>56</v>
      </c>
      <c r="N53" s="122">
        <v>21</v>
      </c>
      <c r="O53" s="122">
        <v>35</v>
      </c>
      <c r="P53" s="153">
        <f aca="true" t="shared" si="17" ref="P53:P100">Q53+S53</f>
        <v>2</v>
      </c>
      <c r="Q53" s="122">
        <v>2</v>
      </c>
      <c r="R53" s="122">
        <v>0</v>
      </c>
      <c r="S53" s="122">
        <v>0</v>
      </c>
      <c r="T53" s="376">
        <f t="shared" si="16"/>
        <v>2</v>
      </c>
      <c r="U53" s="122">
        <v>0</v>
      </c>
      <c r="V53" s="122">
        <v>2</v>
      </c>
      <c r="W53" s="122">
        <v>0</v>
      </c>
      <c r="X53" s="122">
        <v>0</v>
      </c>
      <c r="Y53" s="711"/>
    </row>
    <row r="54" spans="1:25" ht="23.25" customHeight="1">
      <c r="A54" s="59">
        <v>17</v>
      </c>
      <c r="B54" s="69" t="s">
        <v>369</v>
      </c>
      <c r="C54" s="101">
        <f t="shared" si="11"/>
        <v>1720</v>
      </c>
      <c r="D54" s="370">
        <v>43</v>
      </c>
      <c r="E54" s="122">
        <v>1677</v>
      </c>
      <c r="F54" s="153">
        <f t="shared" si="12"/>
        <v>2</v>
      </c>
      <c r="G54" s="122">
        <v>2</v>
      </c>
      <c r="H54" s="122">
        <f>0+0+1</f>
        <v>1</v>
      </c>
      <c r="I54" s="122">
        <v>0</v>
      </c>
      <c r="J54" s="384">
        <f t="shared" si="13"/>
        <v>4</v>
      </c>
      <c r="K54" s="122">
        <v>2</v>
      </c>
      <c r="L54" s="122">
        <v>2</v>
      </c>
      <c r="M54" s="391">
        <f t="shared" si="14"/>
        <v>181</v>
      </c>
      <c r="N54" s="122">
        <v>126</v>
      </c>
      <c r="O54" s="122">
        <v>55</v>
      </c>
      <c r="P54" s="386">
        <f t="shared" si="17"/>
        <v>32</v>
      </c>
      <c r="Q54" s="122">
        <v>18</v>
      </c>
      <c r="R54" s="122">
        <f>3+0+0</f>
        <v>3</v>
      </c>
      <c r="S54" s="122">
        <v>14</v>
      </c>
      <c r="T54" s="376">
        <f t="shared" si="16"/>
        <v>45</v>
      </c>
      <c r="U54" s="385">
        <f>V54/4*2</f>
        <v>15</v>
      </c>
      <c r="V54" s="122">
        <v>30</v>
      </c>
      <c r="W54" s="122">
        <v>28</v>
      </c>
      <c r="X54" s="122">
        <v>0</v>
      </c>
      <c r="Y54" s="72" t="s">
        <v>86</v>
      </c>
    </row>
    <row r="55" spans="1:24" ht="23.25" customHeight="1">
      <c r="A55" s="59">
        <v>18</v>
      </c>
      <c r="B55" s="69" t="s">
        <v>370</v>
      </c>
      <c r="C55" s="101">
        <f t="shared" si="11"/>
        <v>112</v>
      </c>
      <c r="D55" s="370">
        <v>86</v>
      </c>
      <c r="E55" s="122">
        <v>26</v>
      </c>
      <c r="F55" s="153">
        <f t="shared" si="12"/>
        <v>19</v>
      </c>
      <c r="G55" s="122">
        <v>19</v>
      </c>
      <c r="H55" s="122">
        <f>0+0+1</f>
        <v>1</v>
      </c>
      <c r="I55" s="122"/>
      <c r="J55" s="384">
        <f t="shared" si="13"/>
        <v>20</v>
      </c>
      <c r="K55" s="122">
        <v>1</v>
      </c>
      <c r="L55" s="122">
        <v>19</v>
      </c>
      <c r="M55" s="376">
        <f t="shared" si="14"/>
        <v>184</v>
      </c>
      <c r="N55" s="122">
        <v>161</v>
      </c>
      <c r="O55" s="122">
        <v>23</v>
      </c>
      <c r="P55" s="153">
        <f t="shared" si="17"/>
        <v>71</v>
      </c>
      <c r="Q55" s="122">
        <v>70</v>
      </c>
      <c r="R55" s="122">
        <f>1+0+4</f>
        <v>5</v>
      </c>
      <c r="S55" s="122">
        <v>1</v>
      </c>
      <c r="T55" s="376">
        <f t="shared" si="16"/>
        <v>63</v>
      </c>
      <c r="U55" s="122">
        <v>10</v>
      </c>
      <c r="V55" s="122">
        <v>53</v>
      </c>
      <c r="W55" s="122">
        <v>39</v>
      </c>
      <c r="X55" s="122">
        <v>0</v>
      </c>
    </row>
    <row r="56" spans="1:24" ht="23.25" customHeight="1">
      <c r="A56" s="59">
        <v>19</v>
      </c>
      <c r="B56" s="70" t="s">
        <v>371</v>
      </c>
      <c r="C56" s="101">
        <f t="shared" si="11"/>
        <v>9319</v>
      </c>
      <c r="D56" s="370">
        <v>429</v>
      </c>
      <c r="E56" s="122">
        <v>8890</v>
      </c>
      <c r="F56" s="153">
        <f t="shared" si="12"/>
        <v>47</v>
      </c>
      <c r="G56" s="122">
        <v>46</v>
      </c>
      <c r="H56" s="122">
        <f>0+0+1</f>
        <v>1</v>
      </c>
      <c r="I56" s="122">
        <v>1</v>
      </c>
      <c r="J56" s="384">
        <f t="shared" si="13"/>
        <v>61.5</v>
      </c>
      <c r="K56" s="385">
        <f>L56/4*2</f>
        <v>20.5</v>
      </c>
      <c r="L56" s="122">
        <v>41</v>
      </c>
      <c r="M56" s="376">
        <f t="shared" si="14"/>
        <v>4811</v>
      </c>
      <c r="N56" s="122">
        <v>395</v>
      </c>
      <c r="O56" s="122">
        <v>4416</v>
      </c>
      <c r="P56" s="153">
        <f t="shared" si="17"/>
        <v>13</v>
      </c>
      <c r="Q56" s="122">
        <v>11</v>
      </c>
      <c r="R56" s="122">
        <f>0+1+0</f>
        <v>1</v>
      </c>
      <c r="S56" s="122">
        <v>2</v>
      </c>
      <c r="T56" s="376">
        <f t="shared" si="16"/>
        <v>1.5</v>
      </c>
      <c r="U56" s="385">
        <f>V56/4*2</f>
        <v>0.5</v>
      </c>
      <c r="V56" s="122">
        <v>1</v>
      </c>
      <c r="W56" s="122">
        <v>32</v>
      </c>
      <c r="X56" s="122">
        <v>1</v>
      </c>
    </row>
    <row r="57" spans="1:24" ht="23.25" customHeight="1">
      <c r="A57" s="59">
        <v>20</v>
      </c>
      <c r="B57" s="70" t="s">
        <v>372</v>
      </c>
      <c r="C57" s="101">
        <f t="shared" si="11"/>
        <v>722</v>
      </c>
      <c r="D57" s="370">
        <v>234</v>
      </c>
      <c r="E57" s="122">
        <v>488</v>
      </c>
      <c r="F57" s="153">
        <f t="shared" si="12"/>
        <v>4</v>
      </c>
      <c r="G57" s="122">
        <v>4</v>
      </c>
      <c r="H57" s="122">
        <f>0+0+1</f>
        <v>1</v>
      </c>
      <c r="I57" s="122">
        <v>0</v>
      </c>
      <c r="J57" s="384">
        <f t="shared" si="13"/>
        <v>6</v>
      </c>
      <c r="K57" s="385">
        <f>L57/4*2</f>
        <v>2</v>
      </c>
      <c r="L57" s="122">
        <v>4</v>
      </c>
      <c r="M57" s="376">
        <f t="shared" si="14"/>
        <v>52</v>
      </c>
      <c r="N57" s="122">
        <v>52</v>
      </c>
      <c r="O57" s="122">
        <v>0</v>
      </c>
      <c r="P57" s="153">
        <f t="shared" si="17"/>
        <v>0</v>
      </c>
      <c r="Q57" s="122">
        <v>0</v>
      </c>
      <c r="R57" s="122">
        <v>0</v>
      </c>
      <c r="S57" s="122">
        <v>0</v>
      </c>
      <c r="T57" s="376">
        <f t="shared" si="16"/>
        <v>0</v>
      </c>
      <c r="U57" s="122">
        <v>0</v>
      </c>
      <c r="V57" s="122">
        <v>0</v>
      </c>
      <c r="W57" s="122">
        <v>0</v>
      </c>
      <c r="X57" s="122">
        <v>0</v>
      </c>
    </row>
    <row r="58" spans="1:25" ht="23.25" customHeight="1">
      <c r="A58" s="59">
        <v>21</v>
      </c>
      <c r="B58" s="70" t="s">
        <v>373</v>
      </c>
      <c r="C58" s="101">
        <f t="shared" si="11"/>
        <v>40320</v>
      </c>
      <c r="D58" s="370">
        <v>418</v>
      </c>
      <c r="E58" s="122">
        <v>39902</v>
      </c>
      <c r="F58" s="153">
        <f t="shared" si="12"/>
        <v>47</v>
      </c>
      <c r="G58" s="122">
        <v>47</v>
      </c>
      <c r="H58" s="122">
        <f>0+9+3</f>
        <v>12</v>
      </c>
      <c r="I58" s="122">
        <v>0</v>
      </c>
      <c r="J58" s="384">
        <f t="shared" si="13"/>
        <v>70.5</v>
      </c>
      <c r="K58" s="385">
        <f>L58/4*2</f>
        <v>23.5</v>
      </c>
      <c r="L58" s="122">
        <v>47</v>
      </c>
      <c r="M58" s="376">
        <f t="shared" si="14"/>
        <v>15087</v>
      </c>
      <c r="N58" s="122">
        <v>272</v>
      </c>
      <c r="O58" s="122">
        <v>14815</v>
      </c>
      <c r="P58" s="386">
        <f t="shared" si="17"/>
        <v>102</v>
      </c>
      <c r="Q58" s="390">
        <v>98</v>
      </c>
      <c r="R58" s="122">
        <f>2+15+3</f>
        <v>20</v>
      </c>
      <c r="S58" s="122">
        <v>4</v>
      </c>
      <c r="T58" s="376">
        <f t="shared" si="16"/>
        <v>166.5</v>
      </c>
      <c r="U58" s="385">
        <f>V58/4*2</f>
        <v>55.5</v>
      </c>
      <c r="V58" s="122">
        <v>111</v>
      </c>
      <c r="W58" s="122">
        <v>95</v>
      </c>
      <c r="X58" s="122">
        <v>11</v>
      </c>
      <c r="Y58" s="72" t="s">
        <v>87</v>
      </c>
    </row>
    <row r="59" spans="1:24" ht="23.25" customHeight="1">
      <c r="A59" s="59">
        <v>22</v>
      </c>
      <c r="B59" s="70" t="s">
        <v>374</v>
      </c>
      <c r="C59" s="101">
        <f t="shared" si="11"/>
        <v>3855</v>
      </c>
      <c r="D59" s="370">
        <v>13</v>
      </c>
      <c r="E59" s="122">
        <v>3842</v>
      </c>
      <c r="F59" s="153">
        <f t="shared" si="12"/>
        <v>34</v>
      </c>
      <c r="G59" s="122">
        <v>0</v>
      </c>
      <c r="H59" s="122">
        <f>0+0+0</f>
        <v>0</v>
      </c>
      <c r="I59" s="122">
        <v>34</v>
      </c>
      <c r="J59" s="384">
        <f t="shared" si="13"/>
        <v>51</v>
      </c>
      <c r="K59" s="385">
        <f>L59/4*2</f>
        <v>17</v>
      </c>
      <c r="L59" s="122">
        <v>34</v>
      </c>
      <c r="M59" s="376">
        <f t="shared" si="14"/>
        <v>844</v>
      </c>
      <c r="N59" s="122">
        <v>2</v>
      </c>
      <c r="O59" s="122">
        <v>842</v>
      </c>
      <c r="P59" s="153">
        <f t="shared" si="17"/>
        <v>28</v>
      </c>
      <c r="Q59" s="122">
        <v>0</v>
      </c>
      <c r="R59" s="122">
        <v>0</v>
      </c>
      <c r="S59" s="122">
        <v>28</v>
      </c>
      <c r="T59" s="376">
        <f t="shared" si="16"/>
        <v>42</v>
      </c>
      <c r="U59" s="385">
        <f>V59/4*2</f>
        <v>14</v>
      </c>
      <c r="V59" s="122">
        <v>28</v>
      </c>
      <c r="W59" s="122">
        <v>15</v>
      </c>
      <c r="X59" s="122">
        <v>0</v>
      </c>
    </row>
    <row r="60" spans="1:25" ht="23.25" customHeight="1">
      <c r="A60" s="59">
        <v>23</v>
      </c>
      <c r="B60" s="70" t="s">
        <v>375</v>
      </c>
      <c r="C60" s="101">
        <f t="shared" si="11"/>
        <v>14291</v>
      </c>
      <c r="D60" s="383">
        <v>529</v>
      </c>
      <c r="E60" s="122">
        <v>13762</v>
      </c>
      <c r="F60" s="388">
        <f t="shared" si="12"/>
        <v>34</v>
      </c>
      <c r="G60" s="122">
        <v>13</v>
      </c>
      <c r="H60" s="122">
        <f>0+0+0</f>
        <v>0</v>
      </c>
      <c r="I60" s="122">
        <v>21</v>
      </c>
      <c r="J60" s="384">
        <f t="shared" si="13"/>
        <v>51</v>
      </c>
      <c r="K60" s="122">
        <v>10</v>
      </c>
      <c r="L60" s="389">
        <v>41</v>
      </c>
      <c r="M60" s="376">
        <f t="shared" si="14"/>
        <v>4861</v>
      </c>
      <c r="N60" s="122">
        <v>126</v>
      </c>
      <c r="O60" s="122">
        <v>4735</v>
      </c>
      <c r="P60" s="388">
        <f t="shared" si="17"/>
        <v>56</v>
      </c>
      <c r="Q60" s="122">
        <v>17</v>
      </c>
      <c r="R60" s="122">
        <v>0</v>
      </c>
      <c r="S60" s="122">
        <v>39</v>
      </c>
      <c r="T60" s="376">
        <f t="shared" si="16"/>
        <v>90</v>
      </c>
      <c r="U60" s="122">
        <v>25</v>
      </c>
      <c r="V60" s="389">
        <v>65</v>
      </c>
      <c r="W60" s="122">
        <v>51</v>
      </c>
      <c r="X60" s="122">
        <v>6</v>
      </c>
      <c r="Y60" s="72" t="s">
        <v>88</v>
      </c>
    </row>
    <row r="61" spans="1:25" ht="23.25" customHeight="1">
      <c r="A61" s="59">
        <v>24</v>
      </c>
      <c r="B61" s="70" t="s">
        <v>376</v>
      </c>
      <c r="C61" s="101">
        <f t="shared" si="11"/>
        <v>765</v>
      </c>
      <c r="D61" s="383">
        <v>703</v>
      </c>
      <c r="E61" s="122">
        <v>62</v>
      </c>
      <c r="F61" s="153">
        <f t="shared" si="12"/>
        <v>138</v>
      </c>
      <c r="G61" s="122">
        <v>74</v>
      </c>
      <c r="H61" s="122">
        <f>0+0+16</f>
        <v>16</v>
      </c>
      <c r="I61" s="122">
        <v>64</v>
      </c>
      <c r="J61" s="384">
        <f t="shared" si="13"/>
        <v>207</v>
      </c>
      <c r="K61" s="385">
        <f>L61/4*2</f>
        <v>69</v>
      </c>
      <c r="L61" s="122">
        <v>138</v>
      </c>
      <c r="M61" s="376">
        <f t="shared" si="14"/>
        <v>536</v>
      </c>
      <c r="N61" s="122">
        <v>480</v>
      </c>
      <c r="O61" s="122">
        <v>56</v>
      </c>
      <c r="P61" s="153">
        <f t="shared" si="17"/>
        <v>126</v>
      </c>
      <c r="Q61" s="122">
        <v>58</v>
      </c>
      <c r="R61" s="122">
        <f>0+0+16</f>
        <v>16</v>
      </c>
      <c r="S61" s="122">
        <v>68</v>
      </c>
      <c r="T61" s="376">
        <f t="shared" si="16"/>
        <v>189</v>
      </c>
      <c r="U61" s="385">
        <f>V61/4*2</f>
        <v>63</v>
      </c>
      <c r="V61" s="122">
        <v>126</v>
      </c>
      <c r="W61" s="122">
        <v>78</v>
      </c>
      <c r="X61" s="122">
        <v>11</v>
      </c>
      <c r="Y61" s="72" t="s">
        <v>89</v>
      </c>
    </row>
    <row r="62" spans="1:24" ht="23.25" customHeight="1">
      <c r="A62" s="59">
        <v>25</v>
      </c>
      <c r="B62" s="70" t="s">
        <v>377</v>
      </c>
      <c r="C62" s="101">
        <f t="shared" si="11"/>
        <v>7572</v>
      </c>
      <c r="D62" s="370">
        <v>53</v>
      </c>
      <c r="E62" s="122">
        <v>7519</v>
      </c>
      <c r="F62" s="153">
        <f t="shared" si="12"/>
        <v>45</v>
      </c>
      <c r="G62" s="122">
        <v>5</v>
      </c>
      <c r="H62" s="122">
        <f>0+0+0</f>
        <v>0</v>
      </c>
      <c r="I62" s="122">
        <v>40</v>
      </c>
      <c r="J62" s="384">
        <f t="shared" si="13"/>
        <v>125</v>
      </c>
      <c r="K62" s="122">
        <v>80</v>
      </c>
      <c r="L62" s="122">
        <v>45</v>
      </c>
      <c r="M62" s="376">
        <f t="shared" si="14"/>
        <v>458</v>
      </c>
      <c r="N62" s="122">
        <v>338</v>
      </c>
      <c r="O62" s="122">
        <v>120</v>
      </c>
      <c r="P62" s="153">
        <f t="shared" si="17"/>
        <v>46</v>
      </c>
      <c r="Q62" s="122">
        <v>40</v>
      </c>
      <c r="R62" s="122">
        <f>1+1+3</f>
        <v>5</v>
      </c>
      <c r="S62" s="122">
        <v>6</v>
      </c>
      <c r="T62" s="376">
        <f t="shared" si="16"/>
        <v>71</v>
      </c>
      <c r="U62" s="122">
        <v>25</v>
      </c>
      <c r="V62" s="122">
        <v>46</v>
      </c>
      <c r="W62" s="122">
        <v>39</v>
      </c>
      <c r="X62" s="122">
        <v>0</v>
      </c>
    </row>
    <row r="63" spans="1:24" ht="23.25" customHeight="1">
      <c r="A63" s="59">
        <v>26</v>
      </c>
      <c r="B63" s="70" t="s">
        <v>378</v>
      </c>
      <c r="C63" s="101">
        <f t="shared" si="11"/>
        <v>20366</v>
      </c>
      <c r="D63" s="370">
        <v>94</v>
      </c>
      <c r="E63" s="122">
        <v>20272</v>
      </c>
      <c r="F63" s="153">
        <f t="shared" si="12"/>
        <v>28</v>
      </c>
      <c r="G63" s="122">
        <v>25</v>
      </c>
      <c r="H63" s="122">
        <f>1+0+8</f>
        <v>9</v>
      </c>
      <c r="I63" s="122">
        <v>3</v>
      </c>
      <c r="J63" s="384">
        <f t="shared" si="13"/>
        <v>42</v>
      </c>
      <c r="K63" s="387">
        <f>L63/4*2</f>
        <v>14</v>
      </c>
      <c r="L63" s="122">
        <v>28</v>
      </c>
      <c r="M63" s="376">
        <f t="shared" si="14"/>
        <v>38965</v>
      </c>
      <c r="N63" s="122">
        <v>641</v>
      </c>
      <c r="O63" s="122">
        <v>38324</v>
      </c>
      <c r="P63" s="153">
        <f t="shared" si="17"/>
        <v>78</v>
      </c>
      <c r="Q63" s="122">
        <v>66</v>
      </c>
      <c r="R63" s="122">
        <f>1+0+3</f>
        <v>4</v>
      </c>
      <c r="S63" s="122">
        <v>12</v>
      </c>
      <c r="T63" s="376">
        <f t="shared" si="16"/>
        <v>117</v>
      </c>
      <c r="U63" s="387">
        <f>V63/4*2</f>
        <v>39</v>
      </c>
      <c r="V63" s="122">
        <v>78</v>
      </c>
      <c r="W63" s="122">
        <v>41</v>
      </c>
      <c r="X63" s="122">
        <v>0</v>
      </c>
    </row>
    <row r="64" spans="1:24" ht="23.25" customHeight="1">
      <c r="A64" s="59">
        <v>27</v>
      </c>
      <c r="B64" s="70" t="s">
        <v>379</v>
      </c>
      <c r="C64" s="101">
        <f t="shared" si="11"/>
        <v>121</v>
      </c>
      <c r="D64" s="370">
        <v>109</v>
      </c>
      <c r="E64" s="122">
        <v>12</v>
      </c>
      <c r="F64" s="153">
        <f t="shared" si="12"/>
        <v>0</v>
      </c>
      <c r="G64" s="122">
        <v>0</v>
      </c>
      <c r="H64" s="122">
        <v>0</v>
      </c>
      <c r="I64" s="122">
        <v>0</v>
      </c>
      <c r="J64" s="384">
        <f t="shared" si="13"/>
        <v>0</v>
      </c>
      <c r="K64" s="385">
        <f>L64/4*2</f>
        <v>0</v>
      </c>
      <c r="L64" s="122">
        <v>0</v>
      </c>
      <c r="M64" s="376">
        <f t="shared" si="14"/>
        <v>171</v>
      </c>
      <c r="N64" s="122">
        <v>127</v>
      </c>
      <c r="O64" s="122">
        <v>44</v>
      </c>
      <c r="P64" s="153">
        <f t="shared" si="17"/>
        <v>8</v>
      </c>
      <c r="Q64" s="122">
        <v>8</v>
      </c>
      <c r="R64" s="122">
        <f>0+1+0</f>
        <v>1</v>
      </c>
      <c r="S64" s="122">
        <v>0</v>
      </c>
      <c r="T64" s="376">
        <f t="shared" si="16"/>
        <v>10</v>
      </c>
      <c r="U64" s="122">
        <v>3</v>
      </c>
      <c r="V64" s="122">
        <v>7</v>
      </c>
      <c r="W64" s="122">
        <v>7</v>
      </c>
      <c r="X64" s="122">
        <v>0</v>
      </c>
    </row>
    <row r="65" spans="1:25" ht="23.25" customHeight="1">
      <c r="A65" s="59">
        <v>28</v>
      </c>
      <c r="B65" s="70" t="s">
        <v>380</v>
      </c>
      <c r="C65" s="101">
        <f t="shared" si="11"/>
        <v>218</v>
      </c>
      <c r="D65" s="370">
        <v>218</v>
      </c>
      <c r="E65" s="122">
        <v>0</v>
      </c>
      <c r="F65" s="388">
        <f t="shared" si="12"/>
        <v>20</v>
      </c>
      <c r="G65" s="122">
        <v>20</v>
      </c>
      <c r="H65" s="122">
        <f>0+0+8</f>
        <v>8</v>
      </c>
      <c r="I65" s="122">
        <v>0</v>
      </c>
      <c r="J65" s="384">
        <f t="shared" si="13"/>
        <v>45</v>
      </c>
      <c r="K65" s="385">
        <f>L65/4*2</f>
        <v>15</v>
      </c>
      <c r="L65" s="389">
        <v>30</v>
      </c>
      <c r="M65" s="376">
        <f t="shared" si="14"/>
        <v>208</v>
      </c>
      <c r="N65" s="122">
        <v>204</v>
      </c>
      <c r="O65" s="122">
        <v>4</v>
      </c>
      <c r="P65" s="153">
        <f t="shared" si="17"/>
        <v>36</v>
      </c>
      <c r="Q65" s="122">
        <v>32</v>
      </c>
      <c r="R65" s="122">
        <f>0+3+8</f>
        <v>11</v>
      </c>
      <c r="S65" s="122">
        <v>4</v>
      </c>
      <c r="T65" s="376">
        <f t="shared" si="16"/>
        <v>36</v>
      </c>
      <c r="U65" s="122">
        <v>0</v>
      </c>
      <c r="V65" s="122">
        <v>36</v>
      </c>
      <c r="W65" s="122">
        <v>36</v>
      </c>
      <c r="X65" s="122">
        <v>0</v>
      </c>
      <c r="Y65" s="72" t="s">
        <v>84</v>
      </c>
    </row>
    <row r="66" spans="1:24" ht="23.25" customHeight="1">
      <c r="A66" s="59">
        <v>29</v>
      </c>
      <c r="B66" s="70" t="s">
        <v>381</v>
      </c>
      <c r="C66" s="101">
        <f t="shared" si="11"/>
        <v>539</v>
      </c>
      <c r="D66" s="370">
        <v>185</v>
      </c>
      <c r="E66" s="122">
        <v>354</v>
      </c>
      <c r="F66" s="153">
        <f t="shared" si="12"/>
        <v>13</v>
      </c>
      <c r="G66" s="122">
        <v>13</v>
      </c>
      <c r="H66" s="122">
        <v>0</v>
      </c>
      <c r="I66" s="122">
        <v>0</v>
      </c>
      <c r="J66" s="384">
        <f t="shared" si="13"/>
        <v>13</v>
      </c>
      <c r="K66" s="122">
        <v>0</v>
      </c>
      <c r="L66" s="122">
        <v>13</v>
      </c>
      <c r="M66" s="376">
        <f t="shared" si="14"/>
        <v>426</v>
      </c>
      <c r="N66" s="122">
        <v>404</v>
      </c>
      <c r="O66" s="122">
        <v>22</v>
      </c>
      <c r="P66" s="153">
        <f t="shared" si="17"/>
        <v>87</v>
      </c>
      <c r="Q66" s="122">
        <v>87</v>
      </c>
      <c r="R66" s="122">
        <f>0+0+12</f>
        <v>12</v>
      </c>
      <c r="S66" s="122">
        <v>0</v>
      </c>
      <c r="T66" s="376">
        <f t="shared" si="16"/>
        <v>130.5</v>
      </c>
      <c r="U66" s="385">
        <f>V66/4*2</f>
        <v>43.5</v>
      </c>
      <c r="V66" s="122">
        <v>87</v>
      </c>
      <c r="W66" s="122">
        <v>82</v>
      </c>
      <c r="X66" s="122">
        <v>0</v>
      </c>
    </row>
    <row r="67" spans="1:24" ht="23.25" customHeight="1">
      <c r="A67" s="59">
        <v>30</v>
      </c>
      <c r="B67" s="70" t="s">
        <v>382</v>
      </c>
      <c r="C67" s="101">
        <f t="shared" si="11"/>
        <v>2068</v>
      </c>
      <c r="D67" s="370">
        <v>277</v>
      </c>
      <c r="E67" s="122">
        <v>1791</v>
      </c>
      <c r="F67" s="153">
        <f t="shared" si="12"/>
        <v>16</v>
      </c>
      <c r="G67" s="122">
        <v>16</v>
      </c>
      <c r="H67" s="122">
        <v>0</v>
      </c>
      <c r="I67" s="122">
        <v>0</v>
      </c>
      <c r="J67" s="384">
        <f t="shared" si="13"/>
        <v>20</v>
      </c>
      <c r="K67" s="122">
        <v>4</v>
      </c>
      <c r="L67" s="122">
        <v>16</v>
      </c>
      <c r="M67" s="376">
        <f t="shared" si="14"/>
        <v>847</v>
      </c>
      <c r="N67" s="122">
        <v>288</v>
      </c>
      <c r="O67" s="122">
        <v>559</v>
      </c>
      <c r="P67" s="153">
        <f t="shared" si="17"/>
        <v>123</v>
      </c>
      <c r="Q67" s="122">
        <v>123</v>
      </c>
      <c r="R67" s="122">
        <v>1</v>
      </c>
      <c r="S67" s="122">
        <v>0</v>
      </c>
      <c r="T67" s="376">
        <f t="shared" si="16"/>
        <v>102</v>
      </c>
      <c r="U67" s="385">
        <f>V67/4*2</f>
        <v>34</v>
      </c>
      <c r="V67" s="122">
        <v>68</v>
      </c>
      <c r="W67" s="122">
        <v>35</v>
      </c>
      <c r="X67" s="122">
        <v>0</v>
      </c>
    </row>
    <row r="68" spans="1:24" ht="23.25" customHeight="1">
      <c r="A68" s="59">
        <v>31</v>
      </c>
      <c r="B68" s="70" t="s">
        <v>383</v>
      </c>
      <c r="C68" s="101">
        <f t="shared" si="11"/>
        <v>35690</v>
      </c>
      <c r="D68" s="370">
        <v>99</v>
      </c>
      <c r="E68" s="122">
        <v>35591</v>
      </c>
      <c r="F68" s="153">
        <f t="shared" si="12"/>
        <v>111</v>
      </c>
      <c r="G68" s="389">
        <v>111</v>
      </c>
      <c r="H68" s="122">
        <v>0</v>
      </c>
      <c r="I68" s="122">
        <v>0</v>
      </c>
      <c r="J68" s="384">
        <f t="shared" si="13"/>
        <v>166.5</v>
      </c>
      <c r="K68" s="385">
        <f>L68/4*2</f>
        <v>55.5</v>
      </c>
      <c r="L68" s="122">
        <v>111</v>
      </c>
      <c r="M68" s="376">
        <f t="shared" si="14"/>
        <v>12853</v>
      </c>
      <c r="N68" s="122">
        <v>2</v>
      </c>
      <c r="O68" s="122">
        <v>12851</v>
      </c>
      <c r="P68" s="153">
        <f t="shared" si="17"/>
        <v>0</v>
      </c>
      <c r="Q68" s="122">
        <v>0</v>
      </c>
      <c r="R68" s="122">
        <v>0</v>
      </c>
      <c r="S68" s="122">
        <v>0</v>
      </c>
      <c r="T68" s="376">
        <f t="shared" si="16"/>
        <v>0</v>
      </c>
      <c r="U68" s="385">
        <f>V68/4*2</f>
        <v>0</v>
      </c>
      <c r="V68" s="122">
        <v>0</v>
      </c>
      <c r="W68" s="122">
        <v>0</v>
      </c>
      <c r="X68" s="122">
        <v>0</v>
      </c>
    </row>
    <row r="69" spans="1:24" ht="23.25" customHeight="1">
      <c r="A69" s="59">
        <v>32</v>
      </c>
      <c r="B69" s="70" t="s">
        <v>384</v>
      </c>
      <c r="C69" s="101">
        <f t="shared" si="11"/>
        <v>373</v>
      </c>
      <c r="D69" s="370">
        <v>372</v>
      </c>
      <c r="E69" s="122">
        <v>1</v>
      </c>
      <c r="F69" s="153">
        <f t="shared" si="12"/>
        <v>100</v>
      </c>
      <c r="G69" s="122">
        <v>99</v>
      </c>
      <c r="H69" s="122">
        <v>0</v>
      </c>
      <c r="I69" s="122">
        <v>1</v>
      </c>
      <c r="J69" s="384">
        <f t="shared" si="13"/>
        <v>150</v>
      </c>
      <c r="K69" s="385">
        <f>L69/4*2</f>
        <v>50</v>
      </c>
      <c r="L69" s="122">
        <v>100</v>
      </c>
      <c r="M69" s="376">
        <f t="shared" si="14"/>
        <v>170</v>
      </c>
      <c r="N69" s="122">
        <v>168</v>
      </c>
      <c r="O69" s="122">
        <v>2</v>
      </c>
      <c r="P69" s="153">
        <f t="shared" si="17"/>
        <v>47</v>
      </c>
      <c r="Q69" s="122">
        <v>45</v>
      </c>
      <c r="R69" s="122">
        <v>0</v>
      </c>
      <c r="S69" s="122">
        <v>2</v>
      </c>
      <c r="T69" s="376">
        <f t="shared" si="16"/>
        <v>70.5</v>
      </c>
      <c r="U69" s="385">
        <f>V69/4*2</f>
        <v>23.5</v>
      </c>
      <c r="V69" s="122">
        <v>47</v>
      </c>
      <c r="W69" s="122">
        <v>37</v>
      </c>
      <c r="X69" s="122">
        <v>0</v>
      </c>
    </row>
    <row r="70" spans="1:24" ht="23.25" customHeight="1">
      <c r="A70" s="59">
        <v>33</v>
      </c>
      <c r="B70" s="70" t="s">
        <v>385</v>
      </c>
      <c r="C70" s="101">
        <f aca="true" t="shared" si="18" ref="C70:C100">D70+E70</f>
        <v>3317</v>
      </c>
      <c r="D70" s="370">
        <v>81</v>
      </c>
      <c r="E70" s="122">
        <v>3236</v>
      </c>
      <c r="F70" s="153">
        <f t="shared" si="12"/>
        <v>3</v>
      </c>
      <c r="G70" s="122">
        <v>3</v>
      </c>
      <c r="H70" s="122">
        <f>0+1+2</f>
        <v>3</v>
      </c>
      <c r="I70" s="122">
        <v>0</v>
      </c>
      <c r="J70" s="384">
        <f aca="true" t="shared" si="19" ref="J70:J93">K70+L70</f>
        <v>4</v>
      </c>
      <c r="K70" s="122">
        <v>1</v>
      </c>
      <c r="L70" s="122">
        <v>3</v>
      </c>
      <c r="M70" s="376">
        <f aca="true" t="shared" si="20" ref="M70:M100">N70+O70</f>
        <v>1222</v>
      </c>
      <c r="N70" s="122">
        <v>81</v>
      </c>
      <c r="O70" s="122">
        <v>1141</v>
      </c>
      <c r="P70" s="153">
        <f t="shared" si="17"/>
        <v>3</v>
      </c>
      <c r="Q70" s="122">
        <v>3</v>
      </c>
      <c r="R70" s="122">
        <f>0+1+2</f>
        <v>3</v>
      </c>
      <c r="S70" s="122">
        <v>0</v>
      </c>
      <c r="T70" s="376">
        <f aca="true" t="shared" si="21" ref="T70:T100">U70+V70</f>
        <v>4</v>
      </c>
      <c r="U70" s="122">
        <v>1</v>
      </c>
      <c r="V70" s="122">
        <v>3</v>
      </c>
      <c r="W70" s="122">
        <v>3</v>
      </c>
      <c r="X70" s="122">
        <v>0</v>
      </c>
    </row>
    <row r="71" spans="1:25" ht="23.25" customHeight="1">
      <c r="A71" s="59">
        <v>34</v>
      </c>
      <c r="B71" s="70" t="s">
        <v>386</v>
      </c>
      <c r="C71" s="101">
        <f t="shared" si="18"/>
        <v>3703</v>
      </c>
      <c r="D71" s="370">
        <v>55</v>
      </c>
      <c r="E71" s="122">
        <v>3648</v>
      </c>
      <c r="F71" s="388"/>
      <c r="G71" s="122">
        <v>0</v>
      </c>
      <c r="H71" s="122">
        <v>0</v>
      </c>
      <c r="I71" s="122">
        <v>0</v>
      </c>
      <c r="J71" s="384">
        <f t="shared" si="19"/>
        <v>99</v>
      </c>
      <c r="K71" s="385">
        <f>L71/4*2</f>
        <v>33</v>
      </c>
      <c r="L71" s="389">
        <v>66</v>
      </c>
      <c r="M71" s="376">
        <f t="shared" si="20"/>
        <v>14</v>
      </c>
      <c r="N71" s="122">
        <v>14</v>
      </c>
      <c r="O71" s="122">
        <v>0</v>
      </c>
      <c r="P71" s="388">
        <f t="shared" si="17"/>
        <v>6</v>
      </c>
      <c r="Q71" s="122">
        <v>6</v>
      </c>
      <c r="R71" s="122">
        <v>0</v>
      </c>
      <c r="S71" s="122">
        <v>0</v>
      </c>
      <c r="T71" s="376">
        <f t="shared" si="21"/>
        <v>13.5</v>
      </c>
      <c r="U71" s="385">
        <f>V71/4*2</f>
        <v>4.5</v>
      </c>
      <c r="V71" s="389">
        <v>9</v>
      </c>
      <c r="W71" s="122">
        <v>0</v>
      </c>
      <c r="X71" s="122">
        <v>2</v>
      </c>
      <c r="Y71" s="72" t="s">
        <v>84</v>
      </c>
    </row>
    <row r="72" spans="1:25" ht="23.25" customHeight="1">
      <c r="A72" s="59">
        <v>35</v>
      </c>
      <c r="B72" s="70" t="s">
        <v>387</v>
      </c>
      <c r="C72" s="101">
        <f t="shared" si="18"/>
        <v>7379</v>
      </c>
      <c r="D72" s="370">
        <v>333</v>
      </c>
      <c r="E72" s="122">
        <v>7046</v>
      </c>
      <c r="F72" s="153">
        <f aca="true" t="shared" si="22" ref="F72:F93">G72+I72</f>
        <v>17</v>
      </c>
      <c r="G72" s="122">
        <v>15</v>
      </c>
      <c r="H72" s="122">
        <f>0+4+3</f>
        <v>7</v>
      </c>
      <c r="I72" s="122">
        <v>2</v>
      </c>
      <c r="J72" s="384">
        <f t="shared" si="19"/>
        <v>25.5</v>
      </c>
      <c r="K72" s="385">
        <f>L72/4*2</f>
        <v>8.5</v>
      </c>
      <c r="L72" s="122">
        <v>17</v>
      </c>
      <c r="M72" s="376">
        <f t="shared" si="20"/>
        <v>6110</v>
      </c>
      <c r="N72" s="122">
        <v>364</v>
      </c>
      <c r="O72" s="122">
        <v>5746</v>
      </c>
      <c r="P72" s="388">
        <f t="shared" si="17"/>
        <v>57</v>
      </c>
      <c r="Q72" s="122">
        <v>48</v>
      </c>
      <c r="R72" s="122">
        <f>0+2+2</f>
        <v>4</v>
      </c>
      <c r="S72" s="122">
        <v>9</v>
      </c>
      <c r="T72" s="376">
        <f t="shared" si="21"/>
        <v>87</v>
      </c>
      <c r="U72" s="385">
        <f>V72/4*2</f>
        <v>29</v>
      </c>
      <c r="V72" s="389">
        <v>58</v>
      </c>
      <c r="W72" s="122">
        <v>56</v>
      </c>
      <c r="X72" s="122">
        <v>0</v>
      </c>
      <c r="Y72" s="72" t="s">
        <v>84</v>
      </c>
    </row>
    <row r="73" spans="1:24" ht="23.25" customHeight="1">
      <c r="A73" s="59">
        <v>36</v>
      </c>
      <c r="B73" s="71" t="s">
        <v>388</v>
      </c>
      <c r="C73" s="101">
        <f t="shared" si="18"/>
        <v>876</v>
      </c>
      <c r="D73" s="370">
        <v>307</v>
      </c>
      <c r="E73" s="122">
        <v>569</v>
      </c>
      <c r="F73" s="153">
        <f t="shared" si="22"/>
        <v>51</v>
      </c>
      <c r="G73" s="122">
        <v>50</v>
      </c>
      <c r="H73" s="122">
        <f>0+0+28</f>
        <v>28</v>
      </c>
      <c r="I73" s="122">
        <v>1</v>
      </c>
      <c r="J73" s="384">
        <f t="shared" si="19"/>
        <v>1.5</v>
      </c>
      <c r="K73" s="385">
        <f>L73/4*2</f>
        <v>0.5</v>
      </c>
      <c r="L73" s="122">
        <v>1</v>
      </c>
      <c r="M73" s="376">
        <f t="shared" si="20"/>
        <v>464</v>
      </c>
      <c r="N73" s="122">
        <v>411</v>
      </c>
      <c r="O73" s="122">
        <v>53</v>
      </c>
      <c r="P73" s="153">
        <f t="shared" si="17"/>
        <v>280</v>
      </c>
      <c r="Q73" s="122">
        <v>278</v>
      </c>
      <c r="R73" s="122">
        <f>21+0+102</f>
        <v>123</v>
      </c>
      <c r="S73" s="122">
        <v>2</v>
      </c>
      <c r="T73" s="376">
        <f t="shared" si="21"/>
        <v>268.5</v>
      </c>
      <c r="U73" s="385">
        <f>V73/4*2</f>
        <v>89.5</v>
      </c>
      <c r="V73" s="122">
        <v>179</v>
      </c>
      <c r="W73" s="122">
        <v>162</v>
      </c>
      <c r="X73" s="122">
        <v>0</v>
      </c>
    </row>
    <row r="74" spans="1:24" ht="23.25" customHeight="1">
      <c r="A74" s="59">
        <v>37</v>
      </c>
      <c r="B74" s="71" t="s">
        <v>389</v>
      </c>
      <c r="C74" s="101">
        <f t="shared" si="18"/>
        <v>51</v>
      </c>
      <c r="D74" s="370">
        <v>43</v>
      </c>
      <c r="E74" s="122">
        <v>8</v>
      </c>
      <c r="F74" s="153">
        <f t="shared" si="22"/>
        <v>23</v>
      </c>
      <c r="G74" s="122">
        <v>18</v>
      </c>
      <c r="H74" s="122">
        <f>0+0+3</f>
        <v>3</v>
      </c>
      <c r="I74" s="122">
        <v>5</v>
      </c>
      <c r="J74" s="384">
        <f t="shared" si="19"/>
        <v>34.5</v>
      </c>
      <c r="K74" s="385">
        <f>L74/4*2</f>
        <v>11.5</v>
      </c>
      <c r="L74" s="122">
        <v>23</v>
      </c>
      <c r="M74" s="376">
        <f t="shared" si="20"/>
        <v>198</v>
      </c>
      <c r="N74" s="122">
        <v>190</v>
      </c>
      <c r="O74" s="122">
        <v>8</v>
      </c>
      <c r="P74" s="153">
        <f t="shared" si="17"/>
        <v>58</v>
      </c>
      <c r="Q74" s="122">
        <v>45</v>
      </c>
      <c r="R74" s="122">
        <f>0+2+18</f>
        <v>20</v>
      </c>
      <c r="S74" s="122">
        <v>13</v>
      </c>
      <c r="T74" s="376">
        <f t="shared" si="21"/>
        <v>87</v>
      </c>
      <c r="U74" s="385">
        <f>V74/4*2</f>
        <v>29</v>
      </c>
      <c r="V74" s="122">
        <v>58</v>
      </c>
      <c r="W74" s="122">
        <v>42</v>
      </c>
      <c r="X74" s="122">
        <v>1</v>
      </c>
    </row>
    <row r="75" spans="1:24" ht="23.25" customHeight="1">
      <c r="A75" s="59">
        <v>38</v>
      </c>
      <c r="B75" s="71" t="s">
        <v>390</v>
      </c>
      <c r="C75" s="101">
        <f t="shared" si="18"/>
        <v>4181</v>
      </c>
      <c r="D75" s="370">
        <v>693</v>
      </c>
      <c r="E75" s="122">
        <v>3488</v>
      </c>
      <c r="F75" s="153">
        <f t="shared" si="22"/>
        <v>116</v>
      </c>
      <c r="G75" s="122">
        <v>103</v>
      </c>
      <c r="H75" s="122">
        <f>0+0+3</f>
        <v>3</v>
      </c>
      <c r="I75" s="122">
        <v>13</v>
      </c>
      <c r="J75" s="384">
        <f t="shared" si="19"/>
        <v>146</v>
      </c>
      <c r="K75" s="122">
        <v>30</v>
      </c>
      <c r="L75" s="122">
        <v>116</v>
      </c>
      <c r="M75" s="376">
        <f t="shared" si="20"/>
        <v>1252</v>
      </c>
      <c r="N75" s="122">
        <v>572</v>
      </c>
      <c r="O75" s="122">
        <v>680</v>
      </c>
      <c r="P75" s="153">
        <f t="shared" si="17"/>
        <v>99</v>
      </c>
      <c r="Q75" s="122">
        <v>90</v>
      </c>
      <c r="R75" s="122">
        <f>0+0+17</f>
        <v>17</v>
      </c>
      <c r="S75" s="122">
        <v>9</v>
      </c>
      <c r="T75" s="376">
        <f t="shared" si="21"/>
        <v>134</v>
      </c>
      <c r="U75" s="122">
        <v>35</v>
      </c>
      <c r="V75" s="122">
        <v>99</v>
      </c>
      <c r="W75" s="122">
        <v>99</v>
      </c>
      <c r="X75" s="122">
        <v>0</v>
      </c>
    </row>
    <row r="76" spans="1:24" ht="23.25" customHeight="1">
      <c r="A76" s="59">
        <v>39</v>
      </c>
      <c r="B76" s="71" t="s">
        <v>391</v>
      </c>
      <c r="C76" s="101">
        <f t="shared" si="18"/>
        <v>37470</v>
      </c>
      <c r="D76" s="370">
        <v>367</v>
      </c>
      <c r="E76" s="122">
        <v>37103</v>
      </c>
      <c r="F76" s="153">
        <f t="shared" si="22"/>
        <v>48</v>
      </c>
      <c r="G76" s="122">
        <v>11</v>
      </c>
      <c r="H76" s="122"/>
      <c r="I76" s="122">
        <v>37</v>
      </c>
      <c r="J76" s="384">
        <f t="shared" si="19"/>
        <v>72</v>
      </c>
      <c r="K76" s="385">
        <f>L76/4*2</f>
        <v>24</v>
      </c>
      <c r="L76" s="122">
        <v>48</v>
      </c>
      <c r="M76" s="376">
        <f t="shared" si="20"/>
        <v>4422</v>
      </c>
      <c r="N76" s="122">
        <v>293</v>
      </c>
      <c r="O76" s="122">
        <v>4129</v>
      </c>
      <c r="P76" s="153">
        <f t="shared" si="17"/>
        <v>110</v>
      </c>
      <c r="Q76" s="122">
        <v>35</v>
      </c>
      <c r="R76" s="122"/>
      <c r="S76" s="122">
        <v>75</v>
      </c>
      <c r="T76" s="376">
        <f t="shared" si="21"/>
        <v>165</v>
      </c>
      <c r="U76" s="385">
        <f>V76/4*2</f>
        <v>55</v>
      </c>
      <c r="V76" s="122">
        <v>110</v>
      </c>
      <c r="W76" s="122">
        <v>105</v>
      </c>
      <c r="X76" s="122"/>
    </row>
    <row r="77" spans="1:25" ht="23.25" customHeight="1">
      <c r="A77" s="59">
        <v>40</v>
      </c>
      <c r="B77" s="71" t="s">
        <v>392</v>
      </c>
      <c r="C77" s="101">
        <f t="shared" si="18"/>
        <v>49394</v>
      </c>
      <c r="D77" s="383">
        <v>4081</v>
      </c>
      <c r="E77" s="122">
        <v>45313</v>
      </c>
      <c r="F77" s="153">
        <f t="shared" si="22"/>
        <v>493</v>
      </c>
      <c r="G77" s="122">
        <v>108</v>
      </c>
      <c r="H77" s="122">
        <f>6+13+8</f>
        <v>27</v>
      </c>
      <c r="I77" s="122">
        <v>385</v>
      </c>
      <c r="J77" s="384">
        <f t="shared" si="19"/>
        <v>696</v>
      </c>
      <c r="K77" s="122">
        <v>212</v>
      </c>
      <c r="L77" s="122">
        <v>484</v>
      </c>
      <c r="M77" s="376">
        <f t="shared" si="20"/>
        <v>58666</v>
      </c>
      <c r="N77" s="122">
        <v>3587</v>
      </c>
      <c r="O77" s="122">
        <v>55079</v>
      </c>
      <c r="P77" s="153">
        <f t="shared" si="17"/>
        <v>639</v>
      </c>
      <c r="Q77" s="122">
        <v>288</v>
      </c>
      <c r="R77" s="122">
        <f>69+25+19</f>
        <v>113</v>
      </c>
      <c r="S77" s="122">
        <v>351</v>
      </c>
      <c r="T77" s="376">
        <f t="shared" si="21"/>
        <v>821</v>
      </c>
      <c r="U77" s="122">
        <v>195</v>
      </c>
      <c r="V77" s="122">
        <v>626</v>
      </c>
      <c r="W77" s="122">
        <v>592</v>
      </c>
      <c r="X77" s="122">
        <v>14</v>
      </c>
      <c r="Y77" s="72" t="s">
        <v>100</v>
      </c>
    </row>
    <row r="78" spans="1:24" ht="23.25" customHeight="1">
      <c r="A78" s="59">
        <v>41</v>
      </c>
      <c r="B78" s="71" t="s">
        <v>393</v>
      </c>
      <c r="C78" s="101">
        <f t="shared" si="18"/>
        <v>5765</v>
      </c>
      <c r="D78" s="370">
        <v>234</v>
      </c>
      <c r="E78" s="122">
        <v>5531</v>
      </c>
      <c r="F78" s="153">
        <f t="shared" si="22"/>
        <v>164</v>
      </c>
      <c r="G78" s="122">
        <v>145</v>
      </c>
      <c r="H78" s="122">
        <f>5+0+3</f>
        <v>8</v>
      </c>
      <c r="I78" s="122">
        <v>19</v>
      </c>
      <c r="J78" s="384">
        <f t="shared" si="19"/>
        <v>240</v>
      </c>
      <c r="K78" s="385">
        <f>L78/4*2</f>
        <v>80</v>
      </c>
      <c r="L78" s="122">
        <v>160</v>
      </c>
      <c r="M78" s="376">
        <f t="shared" si="20"/>
        <v>781</v>
      </c>
      <c r="N78" s="122">
        <v>239</v>
      </c>
      <c r="O78" s="122">
        <v>542</v>
      </c>
      <c r="P78" s="153">
        <f t="shared" si="17"/>
        <v>77</v>
      </c>
      <c r="Q78" s="122">
        <v>77</v>
      </c>
      <c r="R78" s="122">
        <f>0+0+7</f>
        <v>7</v>
      </c>
      <c r="S78" s="122">
        <v>0</v>
      </c>
      <c r="T78" s="376">
        <f t="shared" si="21"/>
        <v>115</v>
      </c>
      <c r="U78" s="385">
        <v>38</v>
      </c>
      <c r="V78" s="122">
        <v>77</v>
      </c>
      <c r="W78" s="122">
        <v>77</v>
      </c>
      <c r="X78" s="122">
        <v>0</v>
      </c>
    </row>
    <row r="79" spans="1:24" ht="23.25" customHeight="1">
      <c r="A79" s="59">
        <v>42</v>
      </c>
      <c r="B79" s="71" t="s">
        <v>394</v>
      </c>
      <c r="C79" s="101">
        <f t="shared" si="18"/>
        <v>2790</v>
      </c>
      <c r="D79" s="370">
        <v>128</v>
      </c>
      <c r="E79" s="122">
        <v>2662</v>
      </c>
      <c r="F79" s="153">
        <f t="shared" si="22"/>
        <v>34</v>
      </c>
      <c r="G79" s="122">
        <v>20</v>
      </c>
      <c r="H79" s="122"/>
      <c r="I79" s="122">
        <v>14</v>
      </c>
      <c r="J79" s="384">
        <f t="shared" si="19"/>
        <v>51</v>
      </c>
      <c r="K79" s="385">
        <f>L79/4*2</f>
        <v>17</v>
      </c>
      <c r="L79" s="122">
        <v>34</v>
      </c>
      <c r="M79" s="376">
        <f t="shared" si="20"/>
        <v>43</v>
      </c>
      <c r="N79" s="122">
        <v>38</v>
      </c>
      <c r="O79" s="122">
        <v>5</v>
      </c>
      <c r="P79" s="153">
        <f t="shared" si="17"/>
        <v>14</v>
      </c>
      <c r="Q79" s="122">
        <v>14</v>
      </c>
      <c r="R79" s="122">
        <f>0+0+1</f>
        <v>1</v>
      </c>
      <c r="S79" s="122">
        <v>0</v>
      </c>
      <c r="T79" s="376">
        <f t="shared" si="21"/>
        <v>21</v>
      </c>
      <c r="U79" s="385">
        <f>V79/4*2</f>
        <v>7</v>
      </c>
      <c r="V79" s="122">
        <v>14</v>
      </c>
      <c r="W79" s="122"/>
      <c r="X79" s="122"/>
    </row>
    <row r="80" spans="1:24" ht="23.25" customHeight="1">
      <c r="A80" s="59">
        <v>43</v>
      </c>
      <c r="B80" s="71" t="s">
        <v>395</v>
      </c>
      <c r="C80" s="101">
        <f t="shared" si="18"/>
        <v>24344</v>
      </c>
      <c r="D80" s="370">
        <v>927</v>
      </c>
      <c r="E80" s="122">
        <v>23417</v>
      </c>
      <c r="F80" s="153">
        <f t="shared" si="22"/>
        <v>73</v>
      </c>
      <c r="G80" s="122">
        <v>67</v>
      </c>
      <c r="H80" s="122">
        <f>1+1+0</f>
        <v>2</v>
      </c>
      <c r="I80" s="122">
        <v>6</v>
      </c>
      <c r="J80" s="384">
        <f t="shared" si="19"/>
        <v>87</v>
      </c>
      <c r="K80" s="122">
        <v>14</v>
      </c>
      <c r="L80" s="122">
        <v>73</v>
      </c>
      <c r="M80" s="376">
        <f t="shared" si="20"/>
        <v>9553</v>
      </c>
      <c r="N80" s="122">
        <v>462</v>
      </c>
      <c r="O80" s="122">
        <v>9091</v>
      </c>
      <c r="P80" s="153">
        <f t="shared" si="17"/>
        <v>80</v>
      </c>
      <c r="Q80" s="122">
        <v>79</v>
      </c>
      <c r="R80" s="122">
        <v>0</v>
      </c>
      <c r="S80" s="122">
        <v>1</v>
      </c>
      <c r="T80" s="376">
        <f t="shared" si="21"/>
        <v>97</v>
      </c>
      <c r="U80" s="122">
        <v>17</v>
      </c>
      <c r="V80" s="122">
        <v>80</v>
      </c>
      <c r="W80" s="122">
        <v>80</v>
      </c>
      <c r="X80" s="122">
        <v>0</v>
      </c>
    </row>
    <row r="81" spans="1:24" ht="23.25" customHeight="1">
      <c r="A81" s="59">
        <v>44</v>
      </c>
      <c r="B81" s="71" t="s">
        <v>396</v>
      </c>
      <c r="C81" s="101">
        <f t="shared" si="18"/>
        <v>8032</v>
      </c>
      <c r="D81" s="370">
        <v>202</v>
      </c>
      <c r="E81" s="122">
        <v>7830</v>
      </c>
      <c r="F81" s="153">
        <f t="shared" si="22"/>
        <v>15</v>
      </c>
      <c r="G81" s="122">
        <v>6</v>
      </c>
      <c r="H81" s="122">
        <f>0+0+4</f>
        <v>4</v>
      </c>
      <c r="I81" s="122">
        <v>9</v>
      </c>
      <c r="J81" s="384">
        <f t="shared" si="19"/>
        <v>22.5</v>
      </c>
      <c r="K81" s="385">
        <f>L81/4*2</f>
        <v>7.5</v>
      </c>
      <c r="L81" s="122">
        <v>15</v>
      </c>
      <c r="M81" s="376">
        <f t="shared" si="20"/>
        <v>33798</v>
      </c>
      <c r="N81" s="122">
        <v>73</v>
      </c>
      <c r="O81" s="122">
        <v>33725</v>
      </c>
      <c r="P81" s="153">
        <f t="shared" si="17"/>
        <v>10</v>
      </c>
      <c r="Q81" s="122">
        <v>7</v>
      </c>
      <c r="R81" s="122">
        <f>1+1+5</f>
        <v>7</v>
      </c>
      <c r="S81" s="122">
        <v>3</v>
      </c>
      <c r="T81" s="376">
        <f t="shared" si="21"/>
        <v>20</v>
      </c>
      <c r="U81" s="122">
        <v>20</v>
      </c>
      <c r="V81" s="122">
        <v>0</v>
      </c>
      <c r="W81" s="122">
        <v>0</v>
      </c>
      <c r="X81" s="122">
        <v>0</v>
      </c>
    </row>
    <row r="82" spans="1:24" ht="23.25" customHeight="1">
      <c r="A82" s="59">
        <v>45</v>
      </c>
      <c r="B82" s="76" t="s">
        <v>397</v>
      </c>
      <c r="C82" s="101">
        <f t="shared" si="18"/>
        <v>139</v>
      </c>
      <c r="D82" s="370">
        <v>37</v>
      </c>
      <c r="E82" s="122">
        <v>102</v>
      </c>
      <c r="F82" s="153">
        <f t="shared" si="22"/>
        <v>2</v>
      </c>
      <c r="G82" s="122">
        <v>2</v>
      </c>
      <c r="H82" s="122">
        <v>1</v>
      </c>
      <c r="I82" s="122">
        <v>0</v>
      </c>
      <c r="J82" s="384">
        <f t="shared" si="19"/>
        <v>3</v>
      </c>
      <c r="K82" s="385">
        <f>L82/4*2</f>
        <v>1</v>
      </c>
      <c r="L82" s="122">
        <v>2</v>
      </c>
      <c r="M82" s="376">
        <f t="shared" si="20"/>
        <v>2123</v>
      </c>
      <c r="N82" s="122">
        <v>506</v>
      </c>
      <c r="O82" s="122">
        <v>1617</v>
      </c>
      <c r="P82" s="153">
        <f t="shared" si="17"/>
        <v>119</v>
      </c>
      <c r="Q82" s="122">
        <v>115</v>
      </c>
      <c r="R82" s="122">
        <v>48</v>
      </c>
      <c r="S82" s="122">
        <v>4</v>
      </c>
      <c r="T82" s="376">
        <f t="shared" si="21"/>
        <v>178.5</v>
      </c>
      <c r="U82" s="385">
        <f>V82/4*2</f>
        <v>59.5</v>
      </c>
      <c r="V82" s="122">
        <v>119</v>
      </c>
      <c r="W82" s="122">
        <v>48</v>
      </c>
      <c r="X82" s="122">
        <v>2</v>
      </c>
    </row>
    <row r="83" spans="1:25" ht="23.25" customHeight="1">
      <c r="A83" s="59">
        <v>46</v>
      </c>
      <c r="B83" s="76" t="s">
        <v>398</v>
      </c>
      <c r="C83" s="101">
        <f t="shared" si="18"/>
        <v>82</v>
      </c>
      <c r="D83" s="370">
        <v>44</v>
      </c>
      <c r="E83" s="122">
        <v>38</v>
      </c>
      <c r="F83" s="153">
        <f t="shared" si="22"/>
        <v>22</v>
      </c>
      <c r="G83" s="122">
        <v>19</v>
      </c>
      <c r="H83" s="122">
        <f>0+1+1</f>
        <v>2</v>
      </c>
      <c r="I83" s="122">
        <v>3</v>
      </c>
      <c r="J83" s="384">
        <f t="shared" si="19"/>
        <v>31</v>
      </c>
      <c r="K83" s="122">
        <v>10</v>
      </c>
      <c r="L83" s="122">
        <v>21</v>
      </c>
      <c r="M83" s="376">
        <f t="shared" si="20"/>
        <v>449</v>
      </c>
      <c r="N83" s="122">
        <v>278</v>
      </c>
      <c r="O83" s="122">
        <v>171</v>
      </c>
      <c r="P83" s="388">
        <f t="shared" si="17"/>
        <v>144</v>
      </c>
      <c r="Q83" s="122">
        <v>118</v>
      </c>
      <c r="R83" s="122">
        <f>29+11+4</f>
        <v>44</v>
      </c>
      <c r="S83" s="122">
        <v>26</v>
      </c>
      <c r="T83" s="376">
        <f t="shared" si="21"/>
        <v>238</v>
      </c>
      <c r="U83" s="122">
        <v>79</v>
      </c>
      <c r="V83" s="389">
        <v>159</v>
      </c>
      <c r="W83" s="122">
        <v>128</v>
      </c>
      <c r="X83" s="122">
        <v>4</v>
      </c>
      <c r="Y83" s="72" t="s">
        <v>84</v>
      </c>
    </row>
    <row r="84" spans="1:24" ht="23.25" customHeight="1">
      <c r="A84" s="59">
        <v>47</v>
      </c>
      <c r="B84" s="76" t="s">
        <v>399</v>
      </c>
      <c r="C84" s="101">
        <f t="shared" si="18"/>
        <v>7417</v>
      </c>
      <c r="D84" s="370">
        <v>364</v>
      </c>
      <c r="E84" s="122">
        <v>7053</v>
      </c>
      <c r="F84" s="153">
        <f t="shared" si="22"/>
        <v>59</v>
      </c>
      <c r="G84" s="122">
        <v>2</v>
      </c>
      <c r="H84" s="122">
        <f>0+1+1</f>
        <v>2</v>
      </c>
      <c r="I84" s="122">
        <v>57</v>
      </c>
      <c r="J84" s="384">
        <f t="shared" si="19"/>
        <v>22.5</v>
      </c>
      <c r="K84" s="385">
        <f>L84/4*2</f>
        <v>7.5</v>
      </c>
      <c r="L84" s="122">
        <v>15</v>
      </c>
      <c r="M84" s="376">
        <f t="shared" si="20"/>
        <v>2228</v>
      </c>
      <c r="N84" s="122">
        <v>191</v>
      </c>
      <c r="O84" s="122">
        <v>2037</v>
      </c>
      <c r="P84" s="153">
        <f t="shared" si="17"/>
        <v>14</v>
      </c>
      <c r="Q84" s="122">
        <v>9</v>
      </c>
      <c r="R84" s="122">
        <f>2+2+1</f>
        <v>5</v>
      </c>
      <c r="S84" s="122">
        <v>5</v>
      </c>
      <c r="T84" s="376">
        <f t="shared" si="21"/>
        <v>18</v>
      </c>
      <c r="U84" s="385">
        <f>V84/4*2</f>
        <v>6</v>
      </c>
      <c r="V84" s="122">
        <v>12</v>
      </c>
      <c r="W84" s="122">
        <v>12</v>
      </c>
      <c r="X84" s="122">
        <v>0</v>
      </c>
    </row>
    <row r="85" spans="1:24" ht="23.25" customHeight="1">
      <c r="A85" s="59">
        <v>48</v>
      </c>
      <c r="B85" s="76" t="s">
        <v>400</v>
      </c>
      <c r="C85" s="101">
        <f t="shared" si="18"/>
        <v>16705</v>
      </c>
      <c r="D85" s="370">
        <v>495</v>
      </c>
      <c r="E85" s="122">
        <v>16210</v>
      </c>
      <c r="F85" s="153">
        <f t="shared" si="22"/>
        <v>50</v>
      </c>
      <c r="G85" s="122">
        <v>14</v>
      </c>
      <c r="H85" s="122">
        <f>2+11+0</f>
        <v>13</v>
      </c>
      <c r="I85" s="122">
        <v>36</v>
      </c>
      <c r="J85" s="384">
        <f t="shared" si="19"/>
        <v>75</v>
      </c>
      <c r="K85" s="385">
        <f>L85/4*2</f>
        <v>25</v>
      </c>
      <c r="L85" s="122">
        <v>50</v>
      </c>
      <c r="M85" s="376">
        <f t="shared" si="20"/>
        <v>5665</v>
      </c>
      <c r="N85" s="122">
        <v>315</v>
      </c>
      <c r="O85" s="122">
        <v>5350</v>
      </c>
      <c r="P85" s="153">
        <f t="shared" si="17"/>
        <v>45</v>
      </c>
      <c r="Q85" s="122">
        <v>17</v>
      </c>
      <c r="R85" s="122">
        <f>2+5+2</f>
        <v>9</v>
      </c>
      <c r="S85" s="122">
        <v>28</v>
      </c>
      <c r="T85" s="376">
        <f t="shared" si="21"/>
        <v>67</v>
      </c>
      <c r="U85" s="122">
        <v>22</v>
      </c>
      <c r="V85" s="122">
        <v>45</v>
      </c>
      <c r="W85" s="122">
        <v>43</v>
      </c>
      <c r="X85" s="122">
        <v>0</v>
      </c>
    </row>
    <row r="86" spans="1:24" ht="23.25" customHeight="1">
      <c r="A86" s="59">
        <v>49</v>
      </c>
      <c r="B86" s="76" t="s">
        <v>401</v>
      </c>
      <c r="C86" s="101">
        <f t="shared" si="18"/>
        <v>4664</v>
      </c>
      <c r="D86" s="370">
        <v>72</v>
      </c>
      <c r="E86" s="122">
        <v>4592</v>
      </c>
      <c r="F86" s="153">
        <f t="shared" si="22"/>
        <v>0</v>
      </c>
      <c r="G86" s="122">
        <v>0</v>
      </c>
      <c r="H86" s="122">
        <v>0</v>
      </c>
      <c r="I86" s="122">
        <v>0</v>
      </c>
      <c r="J86" s="384">
        <f t="shared" si="19"/>
        <v>0</v>
      </c>
      <c r="K86" s="385">
        <f>L86/4*2</f>
        <v>0</v>
      </c>
      <c r="L86" s="122">
        <v>0</v>
      </c>
      <c r="M86" s="376">
        <f t="shared" si="20"/>
        <v>2749</v>
      </c>
      <c r="N86" s="122">
        <v>155</v>
      </c>
      <c r="O86" s="122">
        <v>2594</v>
      </c>
      <c r="P86" s="153">
        <f t="shared" si="17"/>
        <v>7</v>
      </c>
      <c r="Q86" s="122">
        <v>5</v>
      </c>
      <c r="R86" s="122">
        <f>3+0+2</f>
        <v>5</v>
      </c>
      <c r="S86" s="122">
        <v>2</v>
      </c>
      <c r="T86" s="376">
        <f t="shared" si="21"/>
        <v>0</v>
      </c>
      <c r="U86" s="385">
        <f>V86/4*2</f>
        <v>0</v>
      </c>
      <c r="V86" s="122">
        <v>0</v>
      </c>
      <c r="W86" s="122">
        <v>0</v>
      </c>
      <c r="X86" s="122">
        <v>0</v>
      </c>
    </row>
    <row r="87" spans="1:24" ht="23.25" customHeight="1">
      <c r="A87" s="59">
        <v>50</v>
      </c>
      <c r="B87" s="76" t="s">
        <v>402</v>
      </c>
      <c r="C87" s="101">
        <f t="shared" si="18"/>
        <v>109</v>
      </c>
      <c r="D87" s="370">
        <v>109</v>
      </c>
      <c r="E87" s="122">
        <v>0</v>
      </c>
      <c r="F87" s="153">
        <f t="shared" si="22"/>
        <v>2</v>
      </c>
      <c r="G87" s="122">
        <v>2</v>
      </c>
      <c r="H87" s="122">
        <f>0+0+1</f>
        <v>1</v>
      </c>
      <c r="I87" s="122">
        <v>0</v>
      </c>
      <c r="J87" s="384">
        <f t="shared" si="19"/>
        <v>3</v>
      </c>
      <c r="K87" s="385">
        <f>L87/4*2</f>
        <v>1</v>
      </c>
      <c r="L87" s="122">
        <v>2</v>
      </c>
      <c r="M87" s="376">
        <f t="shared" si="20"/>
        <v>177</v>
      </c>
      <c r="N87" s="122">
        <v>169</v>
      </c>
      <c r="O87" s="122">
        <v>8</v>
      </c>
      <c r="P87" s="153">
        <f t="shared" si="17"/>
        <v>21</v>
      </c>
      <c r="Q87" s="122">
        <v>21</v>
      </c>
      <c r="R87" s="122">
        <f>0+0+8</f>
        <v>8</v>
      </c>
      <c r="S87" s="122">
        <v>0</v>
      </c>
      <c r="T87" s="376">
        <f t="shared" si="21"/>
        <v>24</v>
      </c>
      <c r="U87" s="385">
        <f>V87/4*2</f>
        <v>8</v>
      </c>
      <c r="V87" s="122">
        <v>16</v>
      </c>
      <c r="W87" s="122">
        <v>1</v>
      </c>
      <c r="X87" s="122">
        <v>0</v>
      </c>
    </row>
    <row r="88" spans="1:24" ht="23.25" customHeight="1">
      <c r="A88" s="59">
        <v>51</v>
      </c>
      <c r="B88" s="75" t="s">
        <v>403</v>
      </c>
      <c r="C88" s="101">
        <f t="shared" si="18"/>
        <v>2413</v>
      </c>
      <c r="D88" s="370">
        <v>191</v>
      </c>
      <c r="E88" s="122">
        <v>2222</v>
      </c>
      <c r="F88" s="153">
        <f t="shared" si="22"/>
        <v>75</v>
      </c>
      <c r="G88" s="122">
        <v>52</v>
      </c>
      <c r="H88" s="122">
        <f>8+3+1</f>
        <v>12</v>
      </c>
      <c r="I88" s="122">
        <v>23</v>
      </c>
      <c r="J88" s="384">
        <f t="shared" si="19"/>
        <v>112.5</v>
      </c>
      <c r="K88" s="385">
        <f>L88/4*2</f>
        <v>37.5</v>
      </c>
      <c r="L88" s="122">
        <v>75</v>
      </c>
      <c r="M88" s="376">
        <f t="shared" si="20"/>
        <v>1963</v>
      </c>
      <c r="N88" s="122">
        <v>99</v>
      </c>
      <c r="O88" s="122">
        <v>1864</v>
      </c>
      <c r="P88" s="153">
        <f t="shared" si="17"/>
        <v>139</v>
      </c>
      <c r="Q88" s="122">
        <v>37</v>
      </c>
      <c r="R88" s="122">
        <f>2+4+1</f>
        <v>7</v>
      </c>
      <c r="S88" s="122">
        <v>102</v>
      </c>
      <c r="T88" s="376">
        <f t="shared" si="21"/>
        <v>208.5</v>
      </c>
      <c r="U88" s="385">
        <f>V88/4*2</f>
        <v>69.5</v>
      </c>
      <c r="V88" s="122">
        <v>139</v>
      </c>
      <c r="W88" s="122">
        <v>139</v>
      </c>
      <c r="X88" s="122">
        <v>0</v>
      </c>
    </row>
    <row r="89" spans="1:24" ht="23.25" customHeight="1">
      <c r="A89" s="59">
        <v>52</v>
      </c>
      <c r="B89" s="75" t="s">
        <v>404</v>
      </c>
      <c r="C89" s="101">
        <f t="shared" si="18"/>
        <v>2544</v>
      </c>
      <c r="D89" s="370">
        <v>249</v>
      </c>
      <c r="E89" s="122">
        <v>2295</v>
      </c>
      <c r="F89" s="153">
        <f t="shared" si="22"/>
        <v>142</v>
      </c>
      <c r="G89" s="122">
        <v>43</v>
      </c>
      <c r="H89" s="122">
        <f>3+0+2</f>
        <v>5</v>
      </c>
      <c r="I89" s="122">
        <v>99</v>
      </c>
      <c r="J89" s="384">
        <f t="shared" si="19"/>
        <v>214</v>
      </c>
      <c r="K89" s="122">
        <v>72</v>
      </c>
      <c r="L89" s="122">
        <v>142</v>
      </c>
      <c r="M89" s="376">
        <f t="shared" si="20"/>
        <v>249</v>
      </c>
      <c r="N89" s="122">
        <v>158</v>
      </c>
      <c r="O89" s="122">
        <v>91</v>
      </c>
      <c r="P89" s="153">
        <f t="shared" si="17"/>
        <v>50</v>
      </c>
      <c r="Q89" s="122">
        <v>41</v>
      </c>
      <c r="R89" s="122">
        <f>3+0+4</f>
        <v>7</v>
      </c>
      <c r="S89" s="122">
        <v>9</v>
      </c>
      <c r="T89" s="376">
        <f t="shared" si="21"/>
        <v>70</v>
      </c>
      <c r="U89" s="122">
        <v>20</v>
      </c>
      <c r="V89" s="122">
        <v>50</v>
      </c>
      <c r="W89" s="122">
        <v>50</v>
      </c>
      <c r="X89" s="122">
        <v>0</v>
      </c>
    </row>
    <row r="90" spans="1:24" ht="23.25" customHeight="1">
      <c r="A90" s="59">
        <v>53</v>
      </c>
      <c r="B90" s="75" t="s">
        <v>405</v>
      </c>
      <c r="C90" s="101">
        <f t="shared" si="18"/>
        <v>20017</v>
      </c>
      <c r="D90" s="370">
        <v>24</v>
      </c>
      <c r="E90" s="122">
        <v>19993</v>
      </c>
      <c r="F90" s="153">
        <f t="shared" si="22"/>
        <v>0</v>
      </c>
      <c r="G90" s="122">
        <v>0</v>
      </c>
      <c r="H90" s="122">
        <v>0</v>
      </c>
      <c r="I90" s="122">
        <v>0</v>
      </c>
      <c r="J90" s="384">
        <f t="shared" si="19"/>
        <v>0</v>
      </c>
      <c r="K90" s="122">
        <f>L90/4*2</f>
        <v>0</v>
      </c>
      <c r="L90" s="122">
        <v>0</v>
      </c>
      <c r="M90" s="376">
        <f t="shared" si="20"/>
        <v>12732</v>
      </c>
      <c r="N90" s="122">
        <v>365</v>
      </c>
      <c r="O90" s="122">
        <v>12367</v>
      </c>
      <c r="P90" s="153">
        <f t="shared" si="17"/>
        <v>0</v>
      </c>
      <c r="Q90" s="122">
        <v>0</v>
      </c>
      <c r="R90" s="122">
        <v>0</v>
      </c>
      <c r="S90" s="122">
        <v>0</v>
      </c>
      <c r="T90" s="376">
        <f t="shared" si="21"/>
        <v>0</v>
      </c>
      <c r="U90" s="122">
        <f aca="true" t="shared" si="23" ref="U90:U96">V90/4*2</f>
        <v>0</v>
      </c>
      <c r="V90" s="122">
        <v>0</v>
      </c>
      <c r="W90" s="122">
        <v>0</v>
      </c>
      <c r="X90" s="122">
        <v>0</v>
      </c>
    </row>
    <row r="91" spans="1:24" ht="23.25" customHeight="1">
      <c r="A91" s="59">
        <v>54</v>
      </c>
      <c r="B91" s="75" t="s">
        <v>406</v>
      </c>
      <c r="C91" s="101">
        <f t="shared" si="18"/>
        <v>9820</v>
      </c>
      <c r="D91" s="370">
        <v>1015</v>
      </c>
      <c r="E91" s="122">
        <v>8805</v>
      </c>
      <c r="F91" s="153">
        <f t="shared" si="22"/>
        <v>73</v>
      </c>
      <c r="G91" s="122">
        <v>40</v>
      </c>
      <c r="H91" s="122">
        <f>0+1+9</f>
        <v>10</v>
      </c>
      <c r="I91" s="122">
        <v>33</v>
      </c>
      <c r="J91" s="384">
        <f t="shared" si="19"/>
        <v>96</v>
      </c>
      <c r="K91" s="387">
        <f>L91/4*2</f>
        <v>32</v>
      </c>
      <c r="L91" s="122">
        <v>64</v>
      </c>
      <c r="M91" s="376">
        <f t="shared" si="20"/>
        <v>335</v>
      </c>
      <c r="N91" s="122">
        <v>246</v>
      </c>
      <c r="O91" s="122">
        <v>89</v>
      </c>
      <c r="P91" s="153">
        <f t="shared" si="17"/>
        <v>26</v>
      </c>
      <c r="Q91" s="122">
        <v>26</v>
      </c>
      <c r="R91" s="122">
        <f>0+2+2</f>
        <v>4</v>
      </c>
      <c r="S91" s="122">
        <v>0</v>
      </c>
      <c r="T91" s="376">
        <f t="shared" si="21"/>
        <v>39</v>
      </c>
      <c r="U91" s="387">
        <f t="shared" si="23"/>
        <v>13</v>
      </c>
      <c r="V91" s="122">
        <v>26</v>
      </c>
      <c r="W91" s="122">
        <v>1</v>
      </c>
      <c r="X91" s="122">
        <v>0</v>
      </c>
    </row>
    <row r="92" spans="1:24" ht="23.25" customHeight="1">
      <c r="A92" s="59">
        <v>55</v>
      </c>
      <c r="B92" s="75" t="s">
        <v>407</v>
      </c>
      <c r="C92" s="101">
        <f t="shared" si="18"/>
        <v>16620</v>
      </c>
      <c r="D92" s="370">
        <v>111</v>
      </c>
      <c r="E92" s="122">
        <v>16509</v>
      </c>
      <c r="F92" s="153">
        <f t="shared" si="22"/>
        <v>10</v>
      </c>
      <c r="G92" s="122">
        <v>7</v>
      </c>
      <c r="H92" s="122">
        <f>1+0+0</f>
        <v>1</v>
      </c>
      <c r="I92" s="122">
        <v>3</v>
      </c>
      <c r="J92" s="384">
        <f t="shared" si="19"/>
        <v>15</v>
      </c>
      <c r="K92" s="385">
        <f>L92/4*2</f>
        <v>5</v>
      </c>
      <c r="L92" s="122">
        <v>10</v>
      </c>
      <c r="M92" s="376">
        <f t="shared" si="20"/>
        <v>17389</v>
      </c>
      <c r="N92" s="122">
        <v>1175</v>
      </c>
      <c r="O92" s="122">
        <v>16214</v>
      </c>
      <c r="P92" s="153">
        <f t="shared" si="17"/>
        <v>112</v>
      </c>
      <c r="Q92" s="122">
        <v>84</v>
      </c>
      <c r="R92" s="122">
        <f>1+3+13</f>
        <v>17</v>
      </c>
      <c r="S92" s="122">
        <v>28</v>
      </c>
      <c r="T92" s="376">
        <f t="shared" si="21"/>
        <v>168</v>
      </c>
      <c r="U92" s="385">
        <f t="shared" si="23"/>
        <v>56</v>
      </c>
      <c r="V92" s="122">
        <v>112</v>
      </c>
      <c r="W92" s="122">
        <v>60</v>
      </c>
      <c r="X92" s="122">
        <v>3</v>
      </c>
    </row>
    <row r="93" spans="1:24" ht="23.25" customHeight="1">
      <c r="A93" s="59">
        <v>56</v>
      </c>
      <c r="B93" s="75" t="s">
        <v>408</v>
      </c>
      <c r="C93" s="101">
        <f t="shared" si="18"/>
        <v>13812</v>
      </c>
      <c r="D93" s="370">
        <v>731</v>
      </c>
      <c r="E93" s="122">
        <v>13081</v>
      </c>
      <c r="F93" s="153">
        <f t="shared" si="22"/>
        <v>112</v>
      </c>
      <c r="G93" s="122">
        <v>61</v>
      </c>
      <c r="H93" s="122">
        <f>0+2+4</f>
        <v>6</v>
      </c>
      <c r="I93" s="122">
        <v>51</v>
      </c>
      <c r="J93" s="384">
        <f t="shared" si="19"/>
        <v>168</v>
      </c>
      <c r="K93" s="385">
        <f>L93/4*2</f>
        <v>56</v>
      </c>
      <c r="L93" s="122">
        <v>112</v>
      </c>
      <c r="M93" s="376">
        <f t="shared" si="20"/>
        <v>498</v>
      </c>
      <c r="N93" s="122">
        <v>354</v>
      </c>
      <c r="O93" s="122">
        <v>144</v>
      </c>
      <c r="P93" s="153">
        <f t="shared" si="17"/>
        <v>147</v>
      </c>
      <c r="Q93" s="122">
        <v>129</v>
      </c>
      <c r="R93" s="122">
        <f>1+1+35</f>
        <v>37</v>
      </c>
      <c r="S93" s="122">
        <v>18</v>
      </c>
      <c r="T93" s="376">
        <f t="shared" si="21"/>
        <v>220.5</v>
      </c>
      <c r="U93" s="385">
        <f t="shared" si="23"/>
        <v>73.5</v>
      </c>
      <c r="V93" s="122">
        <v>147</v>
      </c>
      <c r="W93" s="122">
        <v>117</v>
      </c>
      <c r="X93" s="122">
        <v>0</v>
      </c>
    </row>
    <row r="94" spans="1:24" ht="23.25" customHeight="1">
      <c r="A94" s="59">
        <v>57</v>
      </c>
      <c r="B94" s="75" t="s">
        <v>409</v>
      </c>
      <c r="C94" s="101">
        <f t="shared" si="18"/>
        <v>13</v>
      </c>
      <c r="D94" s="370">
        <v>13</v>
      </c>
      <c r="E94" s="122"/>
      <c r="F94" s="153"/>
      <c r="G94" s="122"/>
      <c r="H94" s="122"/>
      <c r="I94" s="122"/>
      <c r="J94" s="384"/>
      <c r="K94" s="385">
        <v>0</v>
      </c>
      <c r="L94" s="122"/>
      <c r="M94" s="376">
        <f t="shared" si="20"/>
        <v>847</v>
      </c>
      <c r="N94" s="122">
        <v>802</v>
      </c>
      <c r="O94" s="122">
        <v>45</v>
      </c>
      <c r="P94" s="153">
        <f t="shared" si="17"/>
        <v>33</v>
      </c>
      <c r="Q94" s="122">
        <v>33</v>
      </c>
      <c r="R94" s="122">
        <v>9</v>
      </c>
      <c r="S94" s="122"/>
      <c r="T94" s="376">
        <f t="shared" si="21"/>
        <v>49.5</v>
      </c>
      <c r="U94" s="385">
        <f t="shared" si="23"/>
        <v>16.5</v>
      </c>
      <c r="V94" s="122">
        <v>33</v>
      </c>
      <c r="W94" s="122">
        <v>33</v>
      </c>
      <c r="X94" s="122"/>
    </row>
    <row r="95" spans="1:24" ht="23.25" customHeight="1">
      <c r="A95" s="59">
        <v>58</v>
      </c>
      <c r="B95" s="75" t="s">
        <v>410</v>
      </c>
      <c r="C95" s="101">
        <f t="shared" si="18"/>
        <v>314</v>
      </c>
      <c r="D95" s="370">
        <v>267</v>
      </c>
      <c r="E95" s="122">
        <v>47</v>
      </c>
      <c r="F95" s="153">
        <f aca="true" t="shared" si="24" ref="F95:F100">G95+I95</f>
        <v>34</v>
      </c>
      <c r="G95" s="122">
        <v>30</v>
      </c>
      <c r="H95" s="122">
        <f>0+0+1</f>
        <v>1</v>
      </c>
      <c r="I95" s="122">
        <v>4</v>
      </c>
      <c r="J95" s="384">
        <f aca="true" t="shared" si="25" ref="J95:J100">K95+L95</f>
        <v>51</v>
      </c>
      <c r="K95" s="387">
        <f>L95/4*2</f>
        <v>17</v>
      </c>
      <c r="L95" s="122">
        <v>34</v>
      </c>
      <c r="M95" s="376">
        <f t="shared" si="20"/>
        <v>223</v>
      </c>
      <c r="N95" s="122">
        <v>170</v>
      </c>
      <c r="O95" s="122">
        <v>53</v>
      </c>
      <c r="P95" s="153">
        <f t="shared" si="17"/>
        <v>37</v>
      </c>
      <c r="Q95" s="122">
        <v>35</v>
      </c>
      <c r="R95" s="122">
        <v>1</v>
      </c>
      <c r="S95" s="122">
        <v>2</v>
      </c>
      <c r="T95" s="376">
        <f t="shared" si="21"/>
        <v>55.5</v>
      </c>
      <c r="U95" s="387">
        <f t="shared" si="23"/>
        <v>18.5</v>
      </c>
      <c r="V95" s="122">
        <v>37</v>
      </c>
      <c r="W95" s="122">
        <v>32</v>
      </c>
      <c r="X95" s="122">
        <v>2</v>
      </c>
    </row>
    <row r="96" spans="1:24" ht="23.25" customHeight="1">
      <c r="A96" s="59">
        <v>59</v>
      </c>
      <c r="B96" s="75" t="s">
        <v>411</v>
      </c>
      <c r="C96" s="101">
        <f t="shared" si="18"/>
        <v>9389</v>
      </c>
      <c r="D96" s="370">
        <v>96</v>
      </c>
      <c r="E96" s="122">
        <v>9293</v>
      </c>
      <c r="F96" s="153">
        <f t="shared" si="24"/>
        <v>1</v>
      </c>
      <c r="G96" s="122">
        <v>1</v>
      </c>
      <c r="H96" s="122">
        <f>0+0+1</f>
        <v>1</v>
      </c>
      <c r="I96" s="122">
        <v>0</v>
      </c>
      <c r="J96" s="384">
        <f t="shared" si="25"/>
        <v>1.5</v>
      </c>
      <c r="K96" s="385">
        <f>L96/4*2</f>
        <v>0.5</v>
      </c>
      <c r="L96" s="122">
        <v>1</v>
      </c>
      <c r="M96" s="376">
        <f t="shared" si="20"/>
        <v>5900</v>
      </c>
      <c r="N96" s="122">
        <v>28</v>
      </c>
      <c r="O96" s="122">
        <v>5872</v>
      </c>
      <c r="P96" s="153">
        <f t="shared" si="17"/>
        <v>1</v>
      </c>
      <c r="Q96" s="122">
        <v>1</v>
      </c>
      <c r="R96" s="122">
        <v>0</v>
      </c>
      <c r="S96" s="122">
        <v>0</v>
      </c>
      <c r="T96" s="376">
        <f t="shared" si="21"/>
        <v>1.5</v>
      </c>
      <c r="U96" s="385">
        <f t="shared" si="23"/>
        <v>0.5</v>
      </c>
      <c r="V96" s="122">
        <v>1</v>
      </c>
      <c r="W96" s="122">
        <v>1</v>
      </c>
      <c r="X96" s="122">
        <v>0</v>
      </c>
    </row>
    <row r="97" spans="1:24" ht="23.25" customHeight="1">
      <c r="A97" s="59">
        <v>60</v>
      </c>
      <c r="B97" s="75" t="s">
        <v>412</v>
      </c>
      <c r="C97" s="101">
        <f t="shared" si="18"/>
        <v>2066</v>
      </c>
      <c r="D97" s="370">
        <v>546</v>
      </c>
      <c r="E97" s="122">
        <v>1520</v>
      </c>
      <c r="F97" s="153">
        <f t="shared" si="24"/>
        <v>53</v>
      </c>
      <c r="G97" s="122">
        <v>35</v>
      </c>
      <c r="H97" s="122">
        <f>7+0+1</f>
        <v>8</v>
      </c>
      <c r="I97" s="122">
        <v>18</v>
      </c>
      <c r="J97" s="384">
        <f t="shared" si="25"/>
        <v>47</v>
      </c>
      <c r="K97" s="122">
        <v>1</v>
      </c>
      <c r="L97" s="122">
        <v>46</v>
      </c>
      <c r="M97" s="376">
        <f t="shared" si="20"/>
        <v>433</v>
      </c>
      <c r="N97" s="122">
        <v>282</v>
      </c>
      <c r="O97" s="122">
        <v>151</v>
      </c>
      <c r="P97" s="775">
        <f t="shared" si="17"/>
        <v>60</v>
      </c>
      <c r="Q97" s="776">
        <v>56</v>
      </c>
      <c r="R97" s="776">
        <v>13</v>
      </c>
      <c r="S97" s="776">
        <v>4</v>
      </c>
      <c r="T97" s="777">
        <f t="shared" si="21"/>
        <v>54</v>
      </c>
      <c r="U97" s="122">
        <v>11</v>
      </c>
      <c r="V97" s="776">
        <v>43</v>
      </c>
      <c r="W97" s="776">
        <v>32</v>
      </c>
      <c r="X97" s="776">
        <v>0</v>
      </c>
    </row>
    <row r="98" spans="1:25" ht="23.25" customHeight="1">
      <c r="A98" s="59">
        <v>61</v>
      </c>
      <c r="B98" s="75" t="s">
        <v>413</v>
      </c>
      <c r="C98" s="101">
        <f t="shared" si="18"/>
        <v>1291</v>
      </c>
      <c r="D98" s="370">
        <v>116</v>
      </c>
      <c r="E98" s="122">
        <v>1175</v>
      </c>
      <c r="F98" s="153">
        <f t="shared" si="24"/>
        <v>0</v>
      </c>
      <c r="G98" s="122">
        <v>0</v>
      </c>
      <c r="H98" s="122">
        <v>0</v>
      </c>
      <c r="I98" s="122">
        <v>0</v>
      </c>
      <c r="J98" s="384">
        <f t="shared" si="25"/>
        <v>0</v>
      </c>
      <c r="K98" s="385">
        <f>L98/4*2</f>
        <v>0</v>
      </c>
      <c r="L98" s="122">
        <v>0</v>
      </c>
      <c r="M98" s="376">
        <f t="shared" si="20"/>
        <v>146</v>
      </c>
      <c r="N98" s="122">
        <v>85</v>
      </c>
      <c r="O98" s="122">
        <v>61</v>
      </c>
      <c r="P98" s="388">
        <f t="shared" si="17"/>
        <v>30</v>
      </c>
      <c r="Q98" s="122">
        <v>29</v>
      </c>
      <c r="R98" s="122">
        <v>5</v>
      </c>
      <c r="S98" s="122">
        <v>1</v>
      </c>
      <c r="T98" s="376">
        <f t="shared" si="21"/>
        <v>51</v>
      </c>
      <c r="U98" s="122">
        <v>0</v>
      </c>
      <c r="V98" s="389">
        <v>51</v>
      </c>
      <c r="W98" s="122">
        <v>51</v>
      </c>
      <c r="X98" s="122">
        <v>0</v>
      </c>
      <c r="Y98" s="72" t="s">
        <v>212</v>
      </c>
    </row>
    <row r="99" spans="1:25" ht="23.25" customHeight="1">
      <c r="A99" s="59">
        <v>62</v>
      </c>
      <c r="B99" s="75" t="s">
        <v>414</v>
      </c>
      <c r="C99" s="101">
        <f t="shared" si="18"/>
        <v>2652</v>
      </c>
      <c r="D99" s="370">
        <v>1155</v>
      </c>
      <c r="E99" s="122">
        <v>1497</v>
      </c>
      <c r="F99" s="153">
        <f t="shared" si="24"/>
        <v>23</v>
      </c>
      <c r="G99" s="122">
        <v>12</v>
      </c>
      <c r="H99" s="122">
        <v>0</v>
      </c>
      <c r="I99" s="122">
        <v>11</v>
      </c>
      <c r="J99" s="384">
        <f t="shared" si="25"/>
        <v>16.5</v>
      </c>
      <c r="K99" s="385">
        <f>L99/4*2</f>
        <v>5.5</v>
      </c>
      <c r="L99" s="122">
        <v>11</v>
      </c>
      <c r="M99" s="376">
        <f t="shared" si="20"/>
        <v>106</v>
      </c>
      <c r="N99" s="122">
        <v>62</v>
      </c>
      <c r="O99" s="122">
        <v>44</v>
      </c>
      <c r="P99" s="153">
        <f t="shared" si="17"/>
        <v>66</v>
      </c>
      <c r="Q99" s="122">
        <v>22</v>
      </c>
      <c r="R99" s="122">
        <f>0+1+11</f>
        <v>12</v>
      </c>
      <c r="S99" s="122">
        <v>44</v>
      </c>
      <c r="T99" s="376">
        <f t="shared" si="21"/>
        <v>99</v>
      </c>
      <c r="U99" s="385">
        <f>V99/4*2</f>
        <v>33</v>
      </c>
      <c r="V99" s="122">
        <v>66</v>
      </c>
      <c r="W99" s="122">
        <v>56</v>
      </c>
      <c r="X99" s="122">
        <v>0</v>
      </c>
      <c r="Y99" s="72" t="s">
        <v>101</v>
      </c>
    </row>
    <row r="100" spans="1:24" ht="23.25" customHeight="1">
      <c r="A100" s="59">
        <v>63</v>
      </c>
      <c r="B100" s="75" t="s">
        <v>415</v>
      </c>
      <c r="C100" s="101">
        <f t="shared" si="18"/>
        <v>3922</v>
      </c>
      <c r="D100" s="370">
        <v>363</v>
      </c>
      <c r="E100" s="122">
        <v>3559</v>
      </c>
      <c r="F100" s="153">
        <f t="shared" si="24"/>
        <v>6</v>
      </c>
      <c r="G100" s="122">
        <v>6</v>
      </c>
      <c r="H100" s="122">
        <v>3</v>
      </c>
      <c r="I100" s="122">
        <v>0</v>
      </c>
      <c r="J100" s="384">
        <f t="shared" si="25"/>
        <v>6</v>
      </c>
      <c r="K100" s="122">
        <v>0</v>
      </c>
      <c r="L100" s="122">
        <v>6</v>
      </c>
      <c r="M100" s="376">
        <f t="shared" si="20"/>
        <v>1041</v>
      </c>
      <c r="N100" s="122">
        <v>334</v>
      </c>
      <c r="O100" s="122">
        <v>707</v>
      </c>
      <c r="P100" s="153">
        <f t="shared" si="17"/>
        <v>4</v>
      </c>
      <c r="Q100" s="122">
        <v>4</v>
      </c>
      <c r="R100" s="122">
        <v>0</v>
      </c>
      <c r="S100" s="122">
        <v>0</v>
      </c>
      <c r="T100" s="376">
        <f t="shared" si="21"/>
        <v>4</v>
      </c>
      <c r="U100" s="122">
        <v>0</v>
      </c>
      <c r="V100" s="122">
        <v>4</v>
      </c>
      <c r="W100" s="122">
        <v>1</v>
      </c>
      <c r="X100" s="122">
        <v>0</v>
      </c>
    </row>
    <row r="101" spans="5:18" ht="15.75">
      <c r="E101" s="392"/>
      <c r="F101" s="392"/>
      <c r="G101" s="392"/>
      <c r="H101" s="392"/>
      <c r="I101" s="392"/>
      <c r="J101" s="392"/>
      <c r="K101" s="392"/>
      <c r="L101" s="392"/>
      <c r="M101" s="392"/>
      <c r="N101" s="392"/>
      <c r="O101" s="392"/>
      <c r="P101" s="392"/>
      <c r="Q101" s="392"/>
      <c r="R101" s="392"/>
    </row>
    <row r="102" spans="1:12" s="89" customFormat="1" ht="18" customHeight="1">
      <c r="A102" s="50"/>
      <c r="B102" s="50" t="s">
        <v>342</v>
      </c>
      <c r="C102" s="56" t="s">
        <v>494</v>
      </c>
      <c r="D102" s="56"/>
      <c r="E102" s="56"/>
      <c r="F102" s="56"/>
      <c r="G102" s="50"/>
      <c r="H102" s="50"/>
      <c r="I102" s="50"/>
      <c r="J102" s="50"/>
      <c r="K102" s="88"/>
      <c r="L102" s="88"/>
    </row>
    <row r="103" spans="1:10" s="87" customFormat="1" ht="18" customHeight="1">
      <c r="A103" s="50"/>
      <c r="B103" s="50" t="s">
        <v>343</v>
      </c>
      <c r="C103" s="50" t="s">
        <v>344</v>
      </c>
      <c r="E103" s="50"/>
      <c r="F103" s="50"/>
      <c r="G103" s="50"/>
      <c r="H103" s="50"/>
      <c r="I103" s="50"/>
      <c r="J103" s="50"/>
    </row>
    <row r="104" spans="1:10" s="87" customFormat="1" ht="18" customHeight="1">
      <c r="A104" s="50"/>
      <c r="B104" s="50" t="s">
        <v>345</v>
      </c>
      <c r="C104" s="50" t="s">
        <v>346</v>
      </c>
      <c r="E104" s="50"/>
      <c r="F104" s="50"/>
      <c r="G104" s="50"/>
      <c r="H104" s="50"/>
      <c r="I104" s="50"/>
      <c r="J104" s="50"/>
    </row>
    <row r="105" spans="1:25" s="22" customFormat="1" ht="15.75">
      <c r="A105"/>
      <c r="B105" s="142"/>
      <c r="C105" s="120" t="s">
        <v>493</v>
      </c>
      <c r="D105" s="13"/>
      <c r="E105"/>
      <c r="F105"/>
      <c r="G105"/>
      <c r="H105"/>
      <c r="I105"/>
      <c r="J105"/>
      <c r="K105"/>
      <c r="L105"/>
      <c r="M105"/>
      <c r="N105"/>
      <c r="O105"/>
      <c r="P105"/>
      <c r="Q105"/>
      <c r="R105"/>
      <c r="S105"/>
      <c r="T105" s="13"/>
      <c r="Y105" s="73"/>
    </row>
    <row r="106" spans="1:25" s="22" customFormat="1" ht="15.75">
      <c r="A106"/>
      <c r="B106" s="90"/>
      <c r="C106" s="50" t="s">
        <v>430</v>
      </c>
      <c r="D106" s="13"/>
      <c r="E106"/>
      <c r="F106"/>
      <c r="G106"/>
      <c r="H106"/>
      <c r="I106"/>
      <c r="J106"/>
      <c r="K106"/>
      <c r="L106"/>
      <c r="M106"/>
      <c r="N106"/>
      <c r="O106"/>
      <c r="P106"/>
      <c r="Q106"/>
      <c r="R106"/>
      <c r="S106"/>
      <c r="T106" s="13"/>
      <c r="Y106" s="73"/>
    </row>
    <row r="107" spans="1:25" s="22" customFormat="1" ht="15.75">
      <c r="A107"/>
      <c r="B107" s="91"/>
      <c r="C107" s="50" t="s">
        <v>429</v>
      </c>
      <c r="D107" s="13"/>
      <c r="E107"/>
      <c r="F107"/>
      <c r="G107"/>
      <c r="H107"/>
      <c r="I107"/>
      <c r="J107"/>
      <c r="K107"/>
      <c r="L107"/>
      <c r="M107"/>
      <c r="N107"/>
      <c r="O107"/>
      <c r="P107"/>
      <c r="Q107"/>
      <c r="R107"/>
      <c r="S107"/>
      <c r="T107" s="13"/>
      <c r="Y107" s="73"/>
    </row>
    <row r="108" spans="1:25" s="38" customFormat="1" ht="15.75">
      <c r="A108"/>
      <c r="B108" s="143"/>
      <c r="C108" s="86" t="s">
        <v>495</v>
      </c>
      <c r="D108" s="13"/>
      <c r="E108"/>
      <c r="F108"/>
      <c r="G108"/>
      <c r="H108"/>
      <c r="I108"/>
      <c r="J108"/>
      <c r="K108"/>
      <c r="L108"/>
      <c r="M108"/>
      <c r="N108"/>
      <c r="O108"/>
      <c r="P108"/>
      <c r="Q108"/>
      <c r="R108"/>
      <c r="S108"/>
      <c r="T108" s="13"/>
      <c r="Y108" s="87"/>
    </row>
    <row r="109" spans="2:18" ht="15.75">
      <c r="B109" s="764"/>
      <c r="C109" s="765" t="s">
        <v>312</v>
      </c>
      <c r="E109" s="392"/>
      <c r="F109" s="392"/>
      <c r="G109" s="392"/>
      <c r="H109" s="392"/>
      <c r="I109" s="392"/>
      <c r="J109" s="392"/>
      <c r="K109" s="392"/>
      <c r="L109" s="392"/>
      <c r="M109" s="392"/>
      <c r="N109" s="392"/>
      <c r="O109" s="392"/>
      <c r="P109" s="392"/>
      <c r="Q109" s="392"/>
      <c r="R109" s="392"/>
    </row>
    <row r="110" spans="5:18" ht="15.75">
      <c r="E110" s="392"/>
      <c r="F110" s="392"/>
      <c r="G110" s="392"/>
      <c r="H110" s="392"/>
      <c r="I110" s="392"/>
      <c r="J110" s="392"/>
      <c r="K110" s="392"/>
      <c r="L110" s="392"/>
      <c r="M110" s="392"/>
      <c r="N110" s="392"/>
      <c r="O110" s="392"/>
      <c r="P110" s="392"/>
      <c r="Q110" s="392"/>
      <c r="R110" s="392"/>
    </row>
    <row r="111" spans="5:18" ht="15.75">
      <c r="E111" s="392"/>
      <c r="F111" s="392"/>
      <c r="G111" s="392"/>
      <c r="H111" s="392"/>
      <c r="I111" s="392"/>
      <c r="J111" s="392"/>
      <c r="K111" s="392"/>
      <c r="L111" s="392"/>
      <c r="M111" s="392"/>
      <c r="N111" s="392"/>
      <c r="O111" s="392"/>
      <c r="P111" s="392"/>
      <c r="Q111" s="392"/>
      <c r="R111" s="392"/>
    </row>
    <row r="112" spans="5:18" ht="15.75">
      <c r="E112" s="392"/>
      <c r="F112" s="392"/>
      <c r="G112" s="392"/>
      <c r="H112" s="392"/>
      <c r="I112" s="392"/>
      <c r="J112" s="392"/>
      <c r="K112" s="392"/>
      <c r="L112" s="392"/>
      <c r="M112" s="392"/>
      <c r="N112" s="392"/>
      <c r="O112" s="392"/>
      <c r="P112" s="392"/>
      <c r="Q112" s="392"/>
      <c r="R112" s="392"/>
    </row>
    <row r="113" spans="5:18" ht="15.75">
      <c r="E113" s="392"/>
      <c r="F113" s="392"/>
      <c r="G113" s="392"/>
      <c r="H113" s="392"/>
      <c r="I113" s="392"/>
      <c r="J113" s="392"/>
      <c r="K113" s="392"/>
      <c r="L113" s="392"/>
      <c r="M113" s="392"/>
      <c r="N113" s="392"/>
      <c r="O113" s="392"/>
      <c r="P113" s="392"/>
      <c r="Q113" s="392"/>
      <c r="R113" s="392"/>
    </row>
    <row r="114" spans="5:18" ht="15.75">
      <c r="E114" s="392"/>
      <c r="F114" s="392"/>
      <c r="G114" s="392"/>
      <c r="H114" s="392"/>
      <c r="I114" s="392"/>
      <c r="J114" s="392"/>
      <c r="K114" s="392"/>
      <c r="L114" s="392"/>
      <c r="M114" s="392"/>
      <c r="N114" s="392"/>
      <c r="O114" s="392"/>
      <c r="P114" s="392"/>
      <c r="Q114" s="392"/>
      <c r="R114" s="392"/>
    </row>
    <row r="115" spans="5:18" ht="15.75">
      <c r="E115" s="392"/>
      <c r="F115" s="392"/>
      <c r="G115" s="392"/>
      <c r="H115" s="392"/>
      <c r="I115" s="392"/>
      <c r="J115" s="392"/>
      <c r="K115" s="392"/>
      <c r="L115" s="392"/>
      <c r="M115" s="392"/>
      <c r="N115" s="392"/>
      <c r="O115" s="392"/>
      <c r="P115" s="392"/>
      <c r="Q115" s="392"/>
      <c r="R115" s="392"/>
    </row>
    <row r="116" spans="5:18" ht="15.75">
      <c r="E116" s="392"/>
      <c r="F116" s="392"/>
      <c r="G116" s="392"/>
      <c r="H116" s="392"/>
      <c r="I116" s="392"/>
      <c r="J116" s="392"/>
      <c r="K116" s="392"/>
      <c r="L116" s="392"/>
      <c r="M116" s="392"/>
      <c r="N116" s="392"/>
      <c r="O116" s="392"/>
      <c r="P116" s="392"/>
      <c r="Q116" s="392"/>
      <c r="R116" s="392"/>
    </row>
    <row r="117" spans="5:18" ht="15.75">
      <c r="E117" s="392"/>
      <c r="F117" s="392"/>
      <c r="G117" s="392"/>
      <c r="H117" s="392"/>
      <c r="I117" s="392"/>
      <c r="J117" s="392"/>
      <c r="K117" s="392"/>
      <c r="L117" s="392"/>
      <c r="M117" s="392"/>
      <c r="N117" s="392"/>
      <c r="O117" s="392"/>
      <c r="P117" s="392"/>
      <c r="Q117" s="392"/>
      <c r="R117" s="392"/>
    </row>
    <row r="118" spans="5:18" ht="15.75">
      <c r="E118" s="392"/>
      <c r="F118" s="392"/>
      <c r="G118" s="392"/>
      <c r="H118" s="392"/>
      <c r="I118" s="392"/>
      <c r="J118" s="392"/>
      <c r="K118" s="392"/>
      <c r="L118" s="392"/>
      <c r="M118" s="392"/>
      <c r="N118" s="392"/>
      <c r="O118" s="392"/>
      <c r="P118" s="392"/>
      <c r="Q118" s="392"/>
      <c r="R118" s="392"/>
    </row>
    <row r="119" spans="5:18" ht="15.75">
      <c r="E119" s="392"/>
      <c r="F119" s="392"/>
      <c r="G119" s="392"/>
      <c r="H119" s="392"/>
      <c r="I119" s="392"/>
      <c r="J119" s="392"/>
      <c r="K119" s="392"/>
      <c r="L119" s="392"/>
      <c r="M119" s="392"/>
      <c r="N119" s="392"/>
      <c r="O119" s="392"/>
      <c r="P119" s="392"/>
      <c r="Q119" s="392"/>
      <c r="R119" s="392"/>
    </row>
    <row r="120" spans="5:18" ht="15.75">
      <c r="E120" s="392"/>
      <c r="F120" s="392"/>
      <c r="G120" s="392"/>
      <c r="H120" s="392"/>
      <c r="I120" s="392"/>
      <c r="J120" s="392"/>
      <c r="K120" s="392"/>
      <c r="L120" s="392"/>
      <c r="M120" s="392"/>
      <c r="N120" s="392"/>
      <c r="O120" s="392"/>
      <c r="P120" s="392"/>
      <c r="Q120" s="392"/>
      <c r="R120" s="392"/>
    </row>
    <row r="121" spans="5:18" ht="15.75">
      <c r="E121" s="392"/>
      <c r="F121" s="392"/>
      <c r="G121" s="392"/>
      <c r="H121" s="392"/>
      <c r="I121" s="392"/>
      <c r="J121" s="392"/>
      <c r="K121" s="392"/>
      <c r="L121" s="392"/>
      <c r="M121" s="392"/>
      <c r="N121" s="392"/>
      <c r="O121" s="392"/>
      <c r="P121" s="392"/>
      <c r="Q121" s="392"/>
      <c r="R121" s="392"/>
    </row>
    <row r="122" spans="5:18" ht="15.75">
      <c r="E122" s="392"/>
      <c r="F122" s="392"/>
      <c r="G122" s="392"/>
      <c r="H122" s="392"/>
      <c r="I122" s="392"/>
      <c r="J122" s="392"/>
      <c r="K122" s="392"/>
      <c r="L122" s="392"/>
      <c r="M122" s="392"/>
      <c r="N122" s="392"/>
      <c r="O122" s="392"/>
      <c r="P122" s="392"/>
      <c r="Q122" s="392"/>
      <c r="R122" s="392"/>
    </row>
    <row r="123" spans="5:18" ht="15.75">
      <c r="E123" s="392"/>
      <c r="F123" s="392"/>
      <c r="G123" s="392"/>
      <c r="H123" s="392"/>
      <c r="I123" s="392"/>
      <c r="J123" s="392"/>
      <c r="K123" s="392"/>
      <c r="L123" s="392"/>
      <c r="M123" s="392"/>
      <c r="N123" s="392"/>
      <c r="O123" s="392"/>
      <c r="P123" s="392"/>
      <c r="Q123" s="392"/>
      <c r="R123" s="392"/>
    </row>
    <row r="124" spans="5:18" ht="15.75">
      <c r="E124" s="392"/>
      <c r="F124" s="392"/>
      <c r="G124" s="392"/>
      <c r="H124" s="392"/>
      <c r="I124" s="392"/>
      <c r="J124" s="392"/>
      <c r="K124" s="392"/>
      <c r="L124" s="392"/>
      <c r="M124" s="392"/>
      <c r="N124" s="392"/>
      <c r="O124" s="392"/>
      <c r="P124" s="392"/>
      <c r="Q124" s="392"/>
      <c r="R124" s="392"/>
    </row>
    <row r="125" spans="5:18" ht="15.75">
      <c r="E125" s="392"/>
      <c r="F125" s="392"/>
      <c r="G125" s="392"/>
      <c r="H125" s="392"/>
      <c r="I125" s="392"/>
      <c r="J125" s="392"/>
      <c r="K125" s="392"/>
      <c r="L125" s="392"/>
      <c r="M125" s="392"/>
      <c r="N125" s="392"/>
      <c r="O125" s="392"/>
      <c r="P125" s="392"/>
      <c r="Q125" s="392"/>
      <c r="R125" s="392"/>
    </row>
    <row r="126" spans="5:18" ht="15.75">
      <c r="E126" s="392"/>
      <c r="F126" s="392"/>
      <c r="G126" s="392"/>
      <c r="H126" s="392"/>
      <c r="I126" s="392"/>
      <c r="J126" s="392"/>
      <c r="K126" s="392"/>
      <c r="L126" s="392"/>
      <c r="M126" s="392"/>
      <c r="N126" s="392"/>
      <c r="O126" s="392"/>
      <c r="P126" s="392"/>
      <c r="Q126" s="392"/>
      <c r="R126" s="392"/>
    </row>
    <row r="127" spans="5:18" ht="15.75">
      <c r="E127" s="392"/>
      <c r="F127" s="392"/>
      <c r="G127" s="392"/>
      <c r="H127" s="392"/>
      <c r="I127" s="392"/>
      <c r="J127" s="392"/>
      <c r="K127" s="392"/>
      <c r="L127" s="392"/>
      <c r="M127" s="392"/>
      <c r="N127" s="392"/>
      <c r="O127" s="392"/>
      <c r="P127" s="392"/>
      <c r="Q127" s="392"/>
      <c r="R127" s="392"/>
    </row>
    <row r="128" spans="5:18" ht="15.75">
      <c r="E128" s="392"/>
      <c r="F128" s="392"/>
      <c r="G128" s="392"/>
      <c r="H128" s="392"/>
      <c r="I128" s="392"/>
      <c r="J128" s="392"/>
      <c r="K128" s="392"/>
      <c r="L128" s="392"/>
      <c r="M128" s="392"/>
      <c r="N128" s="392"/>
      <c r="O128" s="392"/>
      <c r="P128" s="392"/>
      <c r="Q128" s="392"/>
      <c r="R128" s="392"/>
    </row>
    <row r="129" spans="5:18" ht="15.75">
      <c r="E129" s="392"/>
      <c r="F129" s="392"/>
      <c r="G129" s="392"/>
      <c r="H129" s="392"/>
      <c r="I129" s="392"/>
      <c r="J129" s="392"/>
      <c r="K129" s="392"/>
      <c r="L129" s="392"/>
      <c r="M129" s="392"/>
      <c r="N129" s="392"/>
      <c r="O129" s="392"/>
      <c r="P129" s="392"/>
      <c r="Q129" s="392"/>
      <c r="R129" s="392"/>
    </row>
    <row r="130" spans="5:18" ht="15.75">
      <c r="E130" s="392"/>
      <c r="F130" s="392"/>
      <c r="G130" s="392"/>
      <c r="H130" s="392"/>
      <c r="I130" s="392"/>
      <c r="J130" s="392"/>
      <c r="K130" s="392"/>
      <c r="L130" s="392"/>
      <c r="M130" s="392"/>
      <c r="N130" s="392"/>
      <c r="O130" s="392"/>
      <c r="P130" s="392"/>
      <c r="Q130" s="392"/>
      <c r="R130" s="392"/>
    </row>
    <row r="131" spans="5:18" ht="15.75">
      <c r="E131" s="392"/>
      <c r="F131" s="392"/>
      <c r="G131" s="392"/>
      <c r="H131" s="392"/>
      <c r="I131" s="392"/>
      <c r="J131" s="392"/>
      <c r="K131" s="392"/>
      <c r="L131" s="392"/>
      <c r="M131" s="392"/>
      <c r="N131" s="392"/>
      <c r="O131" s="392"/>
      <c r="P131" s="392"/>
      <c r="Q131" s="392"/>
      <c r="R131" s="392"/>
    </row>
    <row r="132" spans="5:18" ht="15.75">
      <c r="E132" s="392"/>
      <c r="F132" s="392"/>
      <c r="G132" s="392"/>
      <c r="H132" s="392"/>
      <c r="I132" s="392"/>
      <c r="J132" s="392"/>
      <c r="K132" s="392"/>
      <c r="L132" s="392"/>
      <c r="M132" s="392"/>
      <c r="N132" s="392"/>
      <c r="O132" s="392"/>
      <c r="P132" s="392"/>
      <c r="Q132" s="392"/>
      <c r="R132" s="392"/>
    </row>
    <row r="133" spans="5:18" ht="15.75">
      <c r="E133" s="392"/>
      <c r="F133" s="392"/>
      <c r="G133" s="392"/>
      <c r="H133" s="392"/>
      <c r="I133" s="392"/>
      <c r="J133" s="392"/>
      <c r="K133" s="392"/>
      <c r="L133" s="392"/>
      <c r="M133" s="392"/>
      <c r="N133" s="392"/>
      <c r="O133" s="392"/>
      <c r="P133" s="392"/>
      <c r="Q133" s="392"/>
      <c r="R133" s="392"/>
    </row>
    <row r="134" spans="5:18" ht="15.75">
      <c r="E134" s="392"/>
      <c r="F134" s="392"/>
      <c r="G134" s="392"/>
      <c r="H134" s="392"/>
      <c r="I134" s="392"/>
      <c r="J134" s="392"/>
      <c r="K134" s="392"/>
      <c r="L134" s="392"/>
      <c r="M134" s="392"/>
      <c r="N134" s="392"/>
      <c r="O134" s="392"/>
      <c r="P134" s="392"/>
      <c r="Q134" s="392"/>
      <c r="R134" s="392"/>
    </row>
    <row r="135" spans="5:18" ht="15.75">
      <c r="E135" s="392"/>
      <c r="F135" s="392"/>
      <c r="G135" s="392"/>
      <c r="H135" s="392"/>
      <c r="I135" s="392"/>
      <c r="J135" s="392"/>
      <c r="K135" s="392"/>
      <c r="L135" s="392"/>
      <c r="M135" s="392"/>
      <c r="N135" s="392"/>
      <c r="O135" s="392"/>
      <c r="P135" s="392"/>
      <c r="Q135" s="392"/>
      <c r="R135" s="392"/>
    </row>
    <row r="136" spans="5:18" ht="15.75">
      <c r="E136" s="392"/>
      <c r="F136" s="392"/>
      <c r="G136" s="392"/>
      <c r="H136" s="392"/>
      <c r="I136" s="392"/>
      <c r="J136" s="392"/>
      <c r="K136" s="392"/>
      <c r="L136" s="392"/>
      <c r="M136" s="392"/>
      <c r="N136" s="392"/>
      <c r="O136" s="392"/>
      <c r="P136" s="392"/>
      <c r="Q136" s="392"/>
      <c r="R136" s="392"/>
    </row>
    <row r="137" spans="5:18" ht="15.75">
      <c r="E137" s="392"/>
      <c r="F137" s="392"/>
      <c r="G137" s="392"/>
      <c r="H137" s="392"/>
      <c r="I137" s="392"/>
      <c r="J137" s="392"/>
      <c r="K137" s="392"/>
      <c r="L137" s="392"/>
      <c r="M137" s="392"/>
      <c r="N137" s="392"/>
      <c r="O137" s="392"/>
      <c r="P137" s="392"/>
      <c r="Q137" s="392"/>
      <c r="R137" s="392"/>
    </row>
    <row r="138" spans="5:18" ht="15.75">
      <c r="E138" s="392"/>
      <c r="F138" s="392"/>
      <c r="G138" s="392"/>
      <c r="H138" s="392"/>
      <c r="I138" s="392"/>
      <c r="J138" s="392"/>
      <c r="K138" s="392"/>
      <c r="L138" s="392"/>
      <c r="M138" s="392"/>
      <c r="N138" s="392"/>
      <c r="O138" s="392"/>
      <c r="P138" s="392"/>
      <c r="Q138" s="392"/>
      <c r="R138" s="392"/>
    </row>
    <row r="139" spans="5:18" ht="15.75">
      <c r="E139" s="392"/>
      <c r="F139" s="392"/>
      <c r="G139" s="392"/>
      <c r="H139" s="392"/>
      <c r="I139" s="392"/>
      <c r="J139" s="392"/>
      <c r="K139" s="392"/>
      <c r="L139" s="392"/>
      <c r="M139" s="392"/>
      <c r="N139" s="392"/>
      <c r="O139" s="392"/>
      <c r="P139" s="392"/>
      <c r="Q139" s="392"/>
      <c r="R139" s="392"/>
    </row>
    <row r="140" spans="5:18" ht="15.75">
      <c r="E140" s="392"/>
      <c r="F140" s="392"/>
      <c r="G140" s="392"/>
      <c r="H140" s="392"/>
      <c r="I140" s="392"/>
      <c r="J140" s="392"/>
      <c r="K140" s="392"/>
      <c r="L140" s="392"/>
      <c r="M140" s="392"/>
      <c r="N140" s="392"/>
      <c r="O140" s="392"/>
      <c r="P140" s="392"/>
      <c r="Q140" s="392"/>
      <c r="R140" s="392"/>
    </row>
    <row r="141" spans="5:18" ht="15.75">
      <c r="E141" s="392"/>
      <c r="F141" s="392"/>
      <c r="G141" s="392"/>
      <c r="H141" s="392"/>
      <c r="I141" s="392"/>
      <c r="J141" s="392"/>
      <c r="K141" s="392"/>
      <c r="L141" s="392"/>
      <c r="M141" s="392"/>
      <c r="N141" s="392"/>
      <c r="O141" s="392"/>
      <c r="P141" s="392"/>
      <c r="Q141" s="392"/>
      <c r="R141" s="392"/>
    </row>
    <row r="142" spans="5:18" ht="15.75">
      <c r="E142" s="392"/>
      <c r="F142" s="392"/>
      <c r="G142" s="392"/>
      <c r="H142" s="392"/>
      <c r="I142" s="392"/>
      <c r="J142" s="392"/>
      <c r="K142" s="392"/>
      <c r="L142" s="392"/>
      <c r="M142" s="392"/>
      <c r="N142" s="392"/>
      <c r="O142" s="392"/>
      <c r="P142" s="392"/>
      <c r="Q142" s="392"/>
      <c r="R142" s="392"/>
    </row>
    <row r="143" spans="5:18" ht="15.75">
      <c r="E143" s="392"/>
      <c r="F143" s="392"/>
      <c r="G143" s="392"/>
      <c r="H143" s="392"/>
      <c r="I143" s="392"/>
      <c r="J143" s="392"/>
      <c r="K143" s="392"/>
      <c r="L143" s="392"/>
      <c r="M143" s="392"/>
      <c r="N143" s="392"/>
      <c r="O143" s="392"/>
      <c r="P143" s="392"/>
      <c r="Q143" s="392"/>
      <c r="R143" s="392"/>
    </row>
    <row r="144" spans="5:18" ht="15.75">
      <c r="E144" s="392"/>
      <c r="F144" s="392"/>
      <c r="G144" s="392"/>
      <c r="H144" s="392"/>
      <c r="I144" s="392"/>
      <c r="J144" s="392"/>
      <c r="K144" s="392"/>
      <c r="L144" s="392"/>
      <c r="M144" s="392"/>
      <c r="N144" s="392"/>
      <c r="O144" s="392"/>
      <c r="P144" s="392"/>
      <c r="Q144" s="392"/>
      <c r="R144" s="392"/>
    </row>
    <row r="145" spans="5:18" ht="15.75">
      <c r="E145" s="392"/>
      <c r="F145" s="392"/>
      <c r="G145" s="392"/>
      <c r="H145" s="392"/>
      <c r="I145" s="392"/>
      <c r="J145" s="392"/>
      <c r="K145" s="392"/>
      <c r="L145" s="392"/>
      <c r="M145" s="392"/>
      <c r="N145" s="392"/>
      <c r="O145" s="392"/>
      <c r="P145" s="392"/>
      <c r="Q145" s="392"/>
      <c r="R145" s="392"/>
    </row>
    <row r="146" spans="5:18" ht="15.75">
      <c r="E146" s="392"/>
      <c r="F146" s="392"/>
      <c r="G146" s="392"/>
      <c r="H146" s="392"/>
      <c r="I146" s="392"/>
      <c r="J146" s="392"/>
      <c r="K146" s="392"/>
      <c r="L146" s="392"/>
      <c r="M146" s="392"/>
      <c r="N146" s="392"/>
      <c r="O146" s="392"/>
      <c r="P146" s="392"/>
      <c r="Q146" s="392"/>
      <c r="R146" s="392"/>
    </row>
    <row r="147" spans="5:18" ht="15.75">
      <c r="E147" s="392"/>
      <c r="F147" s="392"/>
      <c r="G147" s="392"/>
      <c r="H147" s="392"/>
      <c r="I147" s="392"/>
      <c r="J147" s="392"/>
      <c r="K147" s="392"/>
      <c r="L147" s="392"/>
      <c r="M147" s="392"/>
      <c r="N147" s="392"/>
      <c r="O147" s="392"/>
      <c r="P147" s="392"/>
      <c r="Q147" s="392"/>
      <c r="R147" s="392"/>
    </row>
    <row r="148" spans="5:18" ht="15.75">
      <c r="E148" s="392"/>
      <c r="F148" s="392"/>
      <c r="G148" s="392"/>
      <c r="H148" s="392"/>
      <c r="I148" s="392"/>
      <c r="J148" s="392"/>
      <c r="K148" s="392"/>
      <c r="L148" s="392"/>
      <c r="M148" s="392"/>
      <c r="N148" s="392"/>
      <c r="O148" s="392"/>
      <c r="P148" s="392"/>
      <c r="Q148" s="392"/>
      <c r="R148" s="392"/>
    </row>
    <row r="149" spans="5:18" ht="15.75">
      <c r="E149" s="392"/>
      <c r="F149" s="392"/>
      <c r="G149" s="392"/>
      <c r="H149" s="392"/>
      <c r="I149" s="392"/>
      <c r="J149" s="392"/>
      <c r="K149" s="392"/>
      <c r="L149" s="392"/>
      <c r="M149" s="392"/>
      <c r="N149" s="392"/>
      <c r="O149" s="392"/>
      <c r="P149" s="392"/>
      <c r="Q149" s="392"/>
      <c r="R149" s="392"/>
    </row>
    <row r="150" spans="5:18" ht="15.75">
      <c r="E150" s="392"/>
      <c r="F150" s="392"/>
      <c r="G150" s="392"/>
      <c r="H150" s="392"/>
      <c r="I150" s="392"/>
      <c r="J150" s="392"/>
      <c r="K150" s="392"/>
      <c r="L150" s="392"/>
      <c r="M150" s="392"/>
      <c r="N150" s="392"/>
      <c r="O150" s="392"/>
      <c r="P150" s="392"/>
      <c r="Q150" s="392"/>
      <c r="R150" s="392"/>
    </row>
    <row r="151" spans="5:18" ht="15.75">
      <c r="E151" s="392"/>
      <c r="F151" s="392"/>
      <c r="G151" s="392"/>
      <c r="H151" s="392"/>
      <c r="I151" s="392"/>
      <c r="J151" s="392"/>
      <c r="K151" s="392"/>
      <c r="L151" s="392"/>
      <c r="M151" s="392"/>
      <c r="N151" s="392"/>
      <c r="O151" s="392"/>
      <c r="P151" s="392"/>
      <c r="Q151" s="392"/>
      <c r="R151" s="392"/>
    </row>
    <row r="152" spans="5:18" ht="15.75">
      <c r="E152" s="392"/>
      <c r="F152" s="392"/>
      <c r="G152" s="392"/>
      <c r="H152" s="392"/>
      <c r="I152" s="392"/>
      <c r="J152" s="392"/>
      <c r="K152" s="392"/>
      <c r="L152" s="392"/>
      <c r="M152" s="392"/>
      <c r="N152" s="392"/>
      <c r="O152" s="392"/>
      <c r="P152" s="392"/>
      <c r="Q152" s="392"/>
      <c r="R152" s="392"/>
    </row>
    <row r="153" spans="5:18" ht="15.75">
      <c r="E153" s="392"/>
      <c r="F153" s="392"/>
      <c r="G153" s="392"/>
      <c r="H153" s="392"/>
      <c r="I153" s="392"/>
      <c r="J153" s="392"/>
      <c r="K153" s="392"/>
      <c r="L153" s="392"/>
      <c r="M153" s="392"/>
      <c r="N153" s="392"/>
      <c r="O153" s="392"/>
      <c r="P153" s="392"/>
      <c r="Q153" s="392"/>
      <c r="R153" s="392"/>
    </row>
    <row r="154" spans="5:18" ht="15.75">
      <c r="E154" s="392"/>
      <c r="F154" s="392"/>
      <c r="G154" s="392"/>
      <c r="H154" s="392"/>
      <c r="I154" s="392"/>
      <c r="J154" s="392"/>
      <c r="K154" s="392"/>
      <c r="L154" s="392"/>
      <c r="M154" s="392"/>
      <c r="N154" s="392"/>
      <c r="O154" s="392"/>
      <c r="P154" s="392"/>
      <c r="Q154" s="392"/>
      <c r="R154" s="392"/>
    </row>
    <row r="155" spans="5:18" ht="15.75">
      <c r="E155" s="392"/>
      <c r="F155" s="392"/>
      <c r="G155" s="392"/>
      <c r="H155" s="392"/>
      <c r="I155" s="392"/>
      <c r="J155" s="392"/>
      <c r="K155" s="392"/>
      <c r="L155" s="392"/>
      <c r="M155" s="392"/>
      <c r="N155" s="392"/>
      <c r="O155" s="392"/>
      <c r="P155" s="392"/>
      <c r="Q155" s="392"/>
      <c r="R155" s="392"/>
    </row>
    <row r="156" spans="5:18" ht="15.75">
      <c r="E156" s="392"/>
      <c r="F156" s="392"/>
      <c r="G156" s="392"/>
      <c r="H156" s="392"/>
      <c r="I156" s="392"/>
      <c r="J156" s="392"/>
      <c r="K156" s="392"/>
      <c r="L156" s="392"/>
      <c r="M156" s="392"/>
      <c r="N156" s="392"/>
      <c r="O156" s="392"/>
      <c r="P156" s="392"/>
      <c r="Q156" s="392"/>
      <c r="R156" s="392"/>
    </row>
    <row r="157" spans="5:18" ht="15.75">
      <c r="E157" s="392"/>
      <c r="F157" s="392"/>
      <c r="G157" s="392"/>
      <c r="H157" s="392"/>
      <c r="I157" s="392"/>
      <c r="J157" s="392"/>
      <c r="K157" s="392"/>
      <c r="L157" s="392"/>
      <c r="M157" s="392"/>
      <c r="N157" s="392"/>
      <c r="O157" s="392"/>
      <c r="P157" s="392"/>
      <c r="Q157" s="392"/>
      <c r="R157" s="392"/>
    </row>
    <row r="158" spans="5:18" ht="15.75">
      <c r="E158" s="392"/>
      <c r="F158" s="392"/>
      <c r="G158" s="392"/>
      <c r="H158" s="392"/>
      <c r="I158" s="392"/>
      <c r="J158" s="392"/>
      <c r="K158" s="392"/>
      <c r="L158" s="392"/>
      <c r="M158" s="392"/>
      <c r="N158" s="392"/>
      <c r="O158" s="392"/>
      <c r="P158" s="392"/>
      <c r="Q158" s="392"/>
      <c r="R158" s="392"/>
    </row>
    <row r="159" spans="5:18" ht="15.75">
      <c r="E159" s="392"/>
      <c r="F159" s="392"/>
      <c r="G159" s="392"/>
      <c r="H159" s="392"/>
      <c r="I159" s="392"/>
      <c r="J159" s="392"/>
      <c r="K159" s="392"/>
      <c r="L159" s="392"/>
      <c r="M159" s="392"/>
      <c r="N159" s="392"/>
      <c r="O159" s="392"/>
      <c r="P159" s="392"/>
      <c r="Q159" s="392"/>
      <c r="R159" s="392"/>
    </row>
    <row r="160" spans="5:18" ht="15.75">
      <c r="E160" s="392"/>
      <c r="F160" s="392"/>
      <c r="G160" s="392"/>
      <c r="H160" s="392"/>
      <c r="I160" s="392"/>
      <c r="J160" s="392"/>
      <c r="K160" s="392"/>
      <c r="L160" s="392"/>
      <c r="M160" s="392"/>
      <c r="N160" s="392"/>
      <c r="O160" s="392"/>
      <c r="P160" s="392"/>
      <c r="Q160" s="392"/>
      <c r="R160" s="392"/>
    </row>
    <row r="161" spans="5:18" ht="15.75">
      <c r="E161" s="392"/>
      <c r="F161" s="392"/>
      <c r="G161" s="392"/>
      <c r="H161" s="392"/>
      <c r="I161" s="392"/>
      <c r="J161" s="392"/>
      <c r="K161" s="392"/>
      <c r="L161" s="392"/>
      <c r="M161" s="392"/>
      <c r="N161" s="392"/>
      <c r="O161" s="392"/>
      <c r="P161" s="392"/>
      <c r="Q161" s="392"/>
      <c r="R161" s="392"/>
    </row>
    <row r="162" spans="5:18" ht="15.75">
      <c r="E162" s="392"/>
      <c r="F162" s="392"/>
      <c r="G162" s="392"/>
      <c r="H162" s="392"/>
      <c r="I162" s="392"/>
      <c r="J162" s="392"/>
      <c r="K162" s="392"/>
      <c r="L162" s="392"/>
      <c r="M162" s="392"/>
      <c r="N162" s="392"/>
      <c r="O162" s="392"/>
      <c r="P162" s="392"/>
      <c r="Q162" s="392"/>
      <c r="R162" s="392"/>
    </row>
    <row r="163" spans="5:18" ht="15.75">
      <c r="E163" s="392"/>
      <c r="F163" s="392"/>
      <c r="G163" s="392"/>
      <c r="H163" s="392"/>
      <c r="I163" s="392"/>
      <c r="J163" s="392"/>
      <c r="K163" s="392"/>
      <c r="L163" s="392"/>
      <c r="M163" s="392"/>
      <c r="N163" s="392"/>
      <c r="O163" s="392"/>
      <c r="P163" s="392"/>
      <c r="Q163" s="392"/>
      <c r="R163" s="392"/>
    </row>
    <row r="164" spans="5:18" ht="15.75">
      <c r="E164" s="392"/>
      <c r="F164" s="392"/>
      <c r="G164" s="392"/>
      <c r="H164" s="392"/>
      <c r="I164" s="392"/>
      <c r="J164" s="392"/>
      <c r="K164" s="392"/>
      <c r="L164" s="392"/>
      <c r="M164" s="392"/>
      <c r="N164" s="392"/>
      <c r="O164" s="392"/>
      <c r="P164" s="392"/>
      <c r="Q164" s="392"/>
      <c r="R164" s="392"/>
    </row>
    <row r="165" spans="5:18" ht="15.75">
      <c r="E165" s="392"/>
      <c r="F165" s="392"/>
      <c r="G165" s="392"/>
      <c r="H165" s="392"/>
      <c r="I165" s="392"/>
      <c r="J165" s="392"/>
      <c r="K165" s="392"/>
      <c r="L165" s="392"/>
      <c r="M165" s="392"/>
      <c r="N165" s="392"/>
      <c r="O165" s="392"/>
      <c r="P165" s="392"/>
      <c r="Q165" s="392"/>
      <c r="R165" s="392"/>
    </row>
    <row r="166" spans="5:18" ht="15.75">
      <c r="E166" s="392"/>
      <c r="F166" s="392"/>
      <c r="G166" s="392"/>
      <c r="H166" s="392"/>
      <c r="I166" s="392"/>
      <c r="J166" s="392"/>
      <c r="K166" s="392"/>
      <c r="L166" s="392"/>
      <c r="M166" s="392"/>
      <c r="N166" s="392"/>
      <c r="O166" s="392"/>
      <c r="P166" s="392"/>
      <c r="Q166" s="392"/>
      <c r="R166" s="392"/>
    </row>
    <row r="167" spans="5:18" ht="15.75">
      <c r="E167" s="392"/>
      <c r="F167" s="392"/>
      <c r="G167" s="392"/>
      <c r="H167" s="392"/>
      <c r="I167" s="392"/>
      <c r="J167" s="392"/>
      <c r="K167" s="392"/>
      <c r="L167" s="392"/>
      <c r="M167" s="392"/>
      <c r="N167" s="392"/>
      <c r="O167" s="392"/>
      <c r="P167" s="392"/>
      <c r="Q167" s="392"/>
      <c r="R167" s="392"/>
    </row>
    <row r="168" spans="5:18" ht="15.75">
      <c r="E168" s="392"/>
      <c r="F168" s="392"/>
      <c r="G168" s="392"/>
      <c r="H168" s="392"/>
      <c r="I168" s="392"/>
      <c r="J168" s="392"/>
      <c r="K168" s="392"/>
      <c r="L168" s="392"/>
      <c r="M168" s="392"/>
      <c r="N168" s="392"/>
      <c r="O168" s="392"/>
      <c r="P168" s="392"/>
      <c r="Q168" s="392"/>
      <c r="R168" s="392"/>
    </row>
    <row r="169" spans="5:18" ht="15.75">
      <c r="E169" s="392"/>
      <c r="F169" s="392"/>
      <c r="G169" s="392"/>
      <c r="H169" s="392"/>
      <c r="I169" s="392"/>
      <c r="J169" s="392"/>
      <c r="K169" s="392"/>
      <c r="L169" s="392"/>
      <c r="M169" s="392"/>
      <c r="N169" s="392"/>
      <c r="O169" s="392"/>
      <c r="P169" s="392"/>
      <c r="Q169" s="392"/>
      <c r="R169" s="392"/>
    </row>
    <row r="170" spans="5:18" ht="15.75">
      <c r="E170" s="392"/>
      <c r="F170" s="392"/>
      <c r="G170" s="392"/>
      <c r="H170" s="392"/>
      <c r="I170" s="392"/>
      <c r="J170" s="392"/>
      <c r="K170" s="392"/>
      <c r="L170" s="392"/>
      <c r="M170" s="392"/>
      <c r="N170" s="392"/>
      <c r="O170" s="392"/>
      <c r="P170" s="392"/>
      <c r="Q170" s="392"/>
      <c r="R170" s="392"/>
    </row>
    <row r="171" spans="5:18" ht="15.75">
      <c r="E171" s="392"/>
      <c r="F171" s="392"/>
      <c r="G171" s="392"/>
      <c r="H171" s="392"/>
      <c r="I171" s="392"/>
      <c r="J171" s="392"/>
      <c r="K171" s="392"/>
      <c r="L171" s="392"/>
      <c r="M171" s="392"/>
      <c r="N171" s="392"/>
      <c r="O171" s="392"/>
      <c r="P171" s="392"/>
      <c r="Q171" s="392"/>
      <c r="R171" s="392"/>
    </row>
    <row r="172" spans="5:18" ht="15.75">
      <c r="E172" s="392"/>
      <c r="F172" s="392"/>
      <c r="G172" s="392"/>
      <c r="H172" s="392"/>
      <c r="I172" s="392"/>
      <c r="J172" s="392"/>
      <c r="K172" s="392"/>
      <c r="L172" s="392"/>
      <c r="M172" s="392"/>
      <c r="N172" s="392"/>
      <c r="O172" s="392"/>
      <c r="P172" s="392"/>
      <c r="Q172" s="392"/>
      <c r="R172" s="392"/>
    </row>
    <row r="173" spans="5:18" ht="15.75">
      <c r="E173" s="392"/>
      <c r="F173" s="392"/>
      <c r="G173" s="392"/>
      <c r="H173" s="392"/>
      <c r="I173" s="392"/>
      <c r="J173" s="392"/>
      <c r="K173" s="392"/>
      <c r="L173" s="392"/>
      <c r="M173" s="392"/>
      <c r="N173" s="392"/>
      <c r="O173" s="392"/>
      <c r="P173" s="392"/>
      <c r="Q173" s="392"/>
      <c r="R173" s="392"/>
    </row>
    <row r="174" spans="5:18" ht="15.75">
      <c r="E174" s="392"/>
      <c r="F174" s="392"/>
      <c r="G174" s="392"/>
      <c r="H174" s="392"/>
      <c r="I174" s="392"/>
      <c r="J174" s="392"/>
      <c r="K174" s="392"/>
      <c r="L174" s="392"/>
      <c r="M174" s="392"/>
      <c r="N174" s="392"/>
      <c r="O174" s="392"/>
      <c r="P174" s="392"/>
      <c r="Q174" s="392"/>
      <c r="R174" s="392"/>
    </row>
    <row r="175" spans="5:18" ht="15.75">
      <c r="E175" s="392"/>
      <c r="F175" s="392"/>
      <c r="G175" s="392"/>
      <c r="H175" s="392"/>
      <c r="I175" s="392"/>
      <c r="J175" s="392"/>
      <c r="K175" s="392"/>
      <c r="L175" s="392"/>
      <c r="M175" s="392"/>
      <c r="N175" s="392"/>
      <c r="O175" s="392"/>
      <c r="P175" s="392"/>
      <c r="Q175" s="392"/>
      <c r="R175" s="392"/>
    </row>
    <row r="176" spans="5:18" ht="15.75">
      <c r="E176" s="392"/>
      <c r="F176" s="392"/>
      <c r="G176" s="392"/>
      <c r="H176" s="392"/>
      <c r="I176" s="392"/>
      <c r="J176" s="392"/>
      <c r="K176" s="392"/>
      <c r="L176" s="392"/>
      <c r="M176" s="392"/>
      <c r="N176" s="392"/>
      <c r="O176" s="392"/>
      <c r="P176" s="392"/>
      <c r="Q176" s="392"/>
      <c r="R176" s="392"/>
    </row>
    <row r="177" spans="5:18" ht="15.75">
      <c r="E177" s="392"/>
      <c r="F177" s="392"/>
      <c r="G177" s="392"/>
      <c r="H177" s="392"/>
      <c r="I177" s="392"/>
      <c r="J177" s="392"/>
      <c r="K177" s="392"/>
      <c r="L177" s="392"/>
      <c r="M177" s="392"/>
      <c r="N177" s="392"/>
      <c r="O177" s="392"/>
      <c r="P177" s="392"/>
      <c r="Q177" s="392"/>
      <c r="R177" s="392"/>
    </row>
    <row r="178" spans="5:18" ht="15.75">
      <c r="E178" s="392"/>
      <c r="F178" s="392"/>
      <c r="G178" s="392"/>
      <c r="H178" s="392"/>
      <c r="I178" s="392"/>
      <c r="J178" s="392"/>
      <c r="K178" s="392"/>
      <c r="L178" s="392"/>
      <c r="M178" s="392"/>
      <c r="N178" s="392"/>
      <c r="O178" s="392"/>
      <c r="P178" s="392"/>
      <c r="Q178" s="392"/>
      <c r="R178" s="392"/>
    </row>
    <row r="179" spans="5:18" ht="15.75">
      <c r="E179" s="392"/>
      <c r="F179" s="392"/>
      <c r="G179" s="392"/>
      <c r="H179" s="392"/>
      <c r="I179" s="392"/>
      <c r="J179" s="392"/>
      <c r="K179" s="392"/>
      <c r="L179" s="392"/>
      <c r="M179" s="392"/>
      <c r="N179" s="392"/>
      <c r="O179" s="392"/>
      <c r="P179" s="392"/>
      <c r="Q179" s="392"/>
      <c r="R179" s="392"/>
    </row>
    <row r="180" spans="5:18" ht="15.75">
      <c r="E180" s="392"/>
      <c r="F180" s="392"/>
      <c r="G180" s="392"/>
      <c r="H180" s="392"/>
      <c r="I180" s="392"/>
      <c r="J180" s="392"/>
      <c r="K180" s="392"/>
      <c r="L180" s="392"/>
      <c r="M180" s="392"/>
      <c r="N180" s="392"/>
      <c r="O180" s="392"/>
      <c r="P180" s="392"/>
      <c r="Q180" s="392"/>
      <c r="R180" s="392"/>
    </row>
    <row r="181" spans="5:18" ht="15.75">
      <c r="E181" s="392"/>
      <c r="F181" s="392"/>
      <c r="G181" s="392"/>
      <c r="H181" s="392"/>
      <c r="I181" s="392"/>
      <c r="J181" s="392"/>
      <c r="K181" s="392"/>
      <c r="L181" s="392"/>
      <c r="M181" s="392"/>
      <c r="N181" s="392"/>
      <c r="O181" s="392"/>
      <c r="P181" s="392"/>
      <c r="Q181" s="392"/>
      <c r="R181" s="392"/>
    </row>
    <row r="182" spans="5:18" ht="15.75">
      <c r="E182" s="392"/>
      <c r="F182" s="392"/>
      <c r="G182" s="392"/>
      <c r="H182" s="392"/>
      <c r="I182" s="392"/>
      <c r="J182" s="392"/>
      <c r="K182" s="392"/>
      <c r="L182" s="392"/>
      <c r="M182" s="392"/>
      <c r="N182" s="392"/>
      <c r="O182" s="392"/>
      <c r="P182" s="392"/>
      <c r="Q182" s="392"/>
      <c r="R182" s="392"/>
    </row>
    <row r="183" spans="5:18" ht="15.75">
      <c r="E183" s="392"/>
      <c r="F183" s="392"/>
      <c r="G183" s="392"/>
      <c r="H183" s="392"/>
      <c r="I183" s="392"/>
      <c r="J183" s="392"/>
      <c r="K183" s="392"/>
      <c r="L183" s="392"/>
      <c r="M183" s="392"/>
      <c r="N183" s="392"/>
      <c r="O183" s="392"/>
      <c r="P183" s="392"/>
      <c r="Q183" s="392"/>
      <c r="R183" s="392"/>
    </row>
    <row r="184" spans="5:18" ht="15.75">
      <c r="E184" s="392"/>
      <c r="F184" s="392"/>
      <c r="G184" s="392"/>
      <c r="H184" s="392"/>
      <c r="I184" s="392"/>
      <c r="J184" s="392"/>
      <c r="K184" s="392"/>
      <c r="L184" s="392"/>
      <c r="M184" s="392"/>
      <c r="N184" s="392"/>
      <c r="O184" s="392"/>
      <c r="P184" s="392"/>
      <c r="Q184" s="392"/>
      <c r="R184" s="392"/>
    </row>
    <row r="185" spans="5:18" ht="15.75">
      <c r="E185" s="392"/>
      <c r="F185" s="392"/>
      <c r="G185" s="392"/>
      <c r="H185" s="392"/>
      <c r="I185" s="392"/>
      <c r="J185" s="392"/>
      <c r="K185" s="392"/>
      <c r="L185" s="392"/>
      <c r="M185" s="392"/>
      <c r="N185" s="392"/>
      <c r="O185" s="392"/>
      <c r="P185" s="392"/>
      <c r="Q185" s="392"/>
      <c r="R185" s="392"/>
    </row>
    <row r="186" spans="5:18" ht="15.75">
      <c r="E186" s="392"/>
      <c r="F186" s="392"/>
      <c r="G186" s="392"/>
      <c r="H186" s="392"/>
      <c r="I186" s="392"/>
      <c r="J186" s="392"/>
      <c r="K186" s="392"/>
      <c r="L186" s="392"/>
      <c r="M186" s="392"/>
      <c r="N186" s="392"/>
      <c r="O186" s="392"/>
      <c r="P186" s="392"/>
      <c r="Q186" s="392"/>
      <c r="R186" s="392"/>
    </row>
    <row r="187" spans="5:18" ht="15.75">
      <c r="E187" s="392"/>
      <c r="F187" s="392"/>
      <c r="G187" s="392"/>
      <c r="H187" s="392"/>
      <c r="I187" s="392"/>
      <c r="J187" s="392"/>
      <c r="K187" s="392"/>
      <c r="L187" s="392"/>
      <c r="M187" s="392"/>
      <c r="N187" s="392"/>
      <c r="O187" s="392"/>
      <c r="P187" s="392"/>
      <c r="Q187" s="392"/>
      <c r="R187" s="392"/>
    </row>
    <row r="188" spans="5:18" ht="15.75">
      <c r="E188" s="392"/>
      <c r="F188" s="392"/>
      <c r="G188" s="392"/>
      <c r="H188" s="392"/>
      <c r="I188" s="392"/>
      <c r="J188" s="392"/>
      <c r="K188" s="392"/>
      <c r="L188" s="392"/>
      <c r="M188" s="392"/>
      <c r="N188" s="392"/>
      <c r="O188" s="392"/>
      <c r="P188" s="392"/>
      <c r="Q188" s="392"/>
      <c r="R188" s="392"/>
    </row>
    <row r="189" spans="5:18" ht="15.75">
      <c r="E189" s="392"/>
      <c r="F189" s="392"/>
      <c r="G189" s="392"/>
      <c r="H189" s="392"/>
      <c r="I189" s="392"/>
      <c r="J189" s="392"/>
      <c r="K189" s="392"/>
      <c r="L189" s="392"/>
      <c r="M189" s="392"/>
      <c r="N189" s="392"/>
      <c r="O189" s="392"/>
      <c r="P189" s="392"/>
      <c r="Q189" s="392"/>
      <c r="R189" s="392"/>
    </row>
    <row r="190" spans="5:18" ht="15.75">
      <c r="E190" s="392"/>
      <c r="F190" s="392"/>
      <c r="G190" s="392"/>
      <c r="H190" s="392"/>
      <c r="I190" s="392"/>
      <c r="J190" s="392"/>
      <c r="K190" s="392"/>
      <c r="L190" s="392"/>
      <c r="M190" s="392"/>
      <c r="N190" s="392"/>
      <c r="O190" s="392"/>
      <c r="P190" s="392"/>
      <c r="Q190" s="392"/>
      <c r="R190" s="392"/>
    </row>
    <row r="191" spans="5:18" ht="15.75">
      <c r="E191" s="392"/>
      <c r="F191" s="392"/>
      <c r="G191" s="392"/>
      <c r="H191" s="392"/>
      <c r="I191" s="392"/>
      <c r="J191" s="392"/>
      <c r="K191" s="392"/>
      <c r="L191" s="392"/>
      <c r="M191" s="392"/>
      <c r="N191" s="392"/>
      <c r="O191" s="392"/>
      <c r="P191" s="392"/>
      <c r="Q191" s="392"/>
      <c r="R191" s="392"/>
    </row>
    <row r="192" spans="5:18" ht="15.75">
      <c r="E192" s="392"/>
      <c r="F192" s="392"/>
      <c r="G192" s="392"/>
      <c r="H192" s="392"/>
      <c r="I192" s="392"/>
      <c r="J192" s="392"/>
      <c r="K192" s="392"/>
      <c r="L192" s="392"/>
      <c r="M192" s="392"/>
      <c r="N192" s="392"/>
      <c r="O192" s="392"/>
      <c r="P192" s="392"/>
      <c r="Q192" s="392"/>
      <c r="R192" s="392"/>
    </row>
    <row r="193" spans="5:18" ht="15.75">
      <c r="E193" s="392"/>
      <c r="F193" s="392"/>
      <c r="G193" s="392"/>
      <c r="H193" s="392"/>
      <c r="I193" s="392"/>
      <c r="J193" s="392"/>
      <c r="K193" s="392"/>
      <c r="L193" s="392"/>
      <c r="M193" s="392"/>
      <c r="N193" s="392"/>
      <c r="O193" s="392"/>
      <c r="P193" s="392"/>
      <c r="Q193" s="392"/>
      <c r="R193" s="392"/>
    </row>
    <row r="194" spans="5:18" ht="15.75">
      <c r="E194" s="392"/>
      <c r="F194" s="392"/>
      <c r="G194" s="392"/>
      <c r="H194" s="392"/>
      <c r="I194" s="392"/>
      <c r="J194" s="392"/>
      <c r="K194" s="392"/>
      <c r="L194" s="392"/>
      <c r="M194" s="392"/>
      <c r="N194" s="392"/>
      <c r="O194" s="392"/>
      <c r="P194" s="392"/>
      <c r="Q194" s="392"/>
      <c r="R194" s="392"/>
    </row>
    <row r="195" spans="5:18" ht="15.75">
      <c r="E195" s="392"/>
      <c r="F195" s="392"/>
      <c r="G195" s="392"/>
      <c r="H195" s="392"/>
      <c r="I195" s="392"/>
      <c r="J195" s="392"/>
      <c r="K195" s="392"/>
      <c r="L195" s="392"/>
      <c r="M195" s="392"/>
      <c r="N195" s="392"/>
      <c r="O195" s="392"/>
      <c r="P195" s="392"/>
      <c r="Q195" s="392"/>
      <c r="R195" s="392"/>
    </row>
    <row r="196" spans="5:18" ht="15.75">
      <c r="E196" s="392"/>
      <c r="F196" s="392"/>
      <c r="G196" s="392"/>
      <c r="H196" s="392"/>
      <c r="I196" s="392"/>
      <c r="J196" s="392"/>
      <c r="K196" s="392"/>
      <c r="L196" s="392"/>
      <c r="M196" s="392"/>
      <c r="N196" s="392"/>
      <c r="O196" s="392"/>
      <c r="P196" s="392"/>
      <c r="Q196" s="392"/>
      <c r="R196" s="392"/>
    </row>
    <row r="197" spans="5:18" ht="15.75">
      <c r="E197" s="392"/>
      <c r="F197" s="392"/>
      <c r="G197" s="392"/>
      <c r="H197" s="392"/>
      <c r="I197" s="392"/>
      <c r="J197" s="392"/>
      <c r="K197" s="392"/>
      <c r="L197" s="392"/>
      <c r="M197" s="392"/>
      <c r="N197" s="392"/>
      <c r="O197" s="392"/>
      <c r="P197" s="392"/>
      <c r="Q197" s="392"/>
      <c r="R197" s="392"/>
    </row>
    <row r="198" spans="5:18" ht="15.75">
      <c r="E198" s="392"/>
      <c r="F198" s="392"/>
      <c r="G198" s="392"/>
      <c r="H198" s="392"/>
      <c r="I198" s="392"/>
      <c r="J198" s="392"/>
      <c r="K198" s="392"/>
      <c r="L198" s="392"/>
      <c r="M198" s="392"/>
      <c r="N198" s="392"/>
      <c r="O198" s="392"/>
      <c r="P198" s="392"/>
      <c r="Q198" s="392"/>
      <c r="R198" s="392"/>
    </row>
    <row r="199" spans="5:18" ht="15.75">
      <c r="E199" s="392"/>
      <c r="F199" s="392"/>
      <c r="G199" s="392"/>
      <c r="H199" s="392"/>
      <c r="I199" s="392"/>
      <c r="J199" s="392"/>
      <c r="K199" s="392"/>
      <c r="L199" s="392"/>
      <c r="M199" s="392"/>
      <c r="N199" s="392"/>
      <c r="O199" s="392"/>
      <c r="P199" s="392"/>
      <c r="Q199" s="392"/>
      <c r="R199" s="392"/>
    </row>
    <row r="200" spans="5:18" ht="15.75">
      <c r="E200" s="392"/>
      <c r="F200" s="392"/>
      <c r="G200" s="392"/>
      <c r="H200" s="392"/>
      <c r="I200" s="392"/>
      <c r="J200" s="392"/>
      <c r="K200" s="392"/>
      <c r="L200" s="392"/>
      <c r="M200" s="392"/>
      <c r="N200" s="392"/>
      <c r="O200" s="392"/>
      <c r="P200" s="392"/>
      <c r="Q200" s="392"/>
      <c r="R200" s="392"/>
    </row>
    <row r="201" spans="5:18" ht="15.75">
      <c r="E201" s="392"/>
      <c r="F201" s="392"/>
      <c r="G201" s="392"/>
      <c r="H201" s="392"/>
      <c r="I201" s="392"/>
      <c r="J201" s="392"/>
      <c r="K201" s="392"/>
      <c r="L201" s="392"/>
      <c r="M201" s="392"/>
      <c r="N201" s="392"/>
      <c r="O201" s="392"/>
      <c r="P201" s="392"/>
      <c r="Q201" s="392"/>
      <c r="R201" s="392"/>
    </row>
    <row r="202" spans="5:18" ht="15.75">
      <c r="E202" s="392"/>
      <c r="F202" s="392"/>
      <c r="G202" s="392"/>
      <c r="H202" s="392"/>
      <c r="I202" s="392"/>
      <c r="J202" s="392"/>
      <c r="K202" s="392"/>
      <c r="L202" s="392"/>
      <c r="M202" s="392"/>
      <c r="N202" s="392"/>
      <c r="O202" s="392"/>
      <c r="P202" s="392"/>
      <c r="Q202" s="392"/>
      <c r="R202" s="392"/>
    </row>
    <row r="203" spans="5:18" ht="15.75">
      <c r="E203" s="392"/>
      <c r="F203" s="392"/>
      <c r="G203" s="392"/>
      <c r="H203" s="392"/>
      <c r="I203" s="392"/>
      <c r="J203" s="392"/>
      <c r="K203" s="392"/>
      <c r="L203" s="392"/>
      <c r="M203" s="392"/>
      <c r="N203" s="392"/>
      <c r="O203" s="392"/>
      <c r="P203" s="392"/>
      <c r="Q203" s="392"/>
      <c r="R203" s="392"/>
    </row>
    <row r="204" spans="5:18" ht="15.75">
      <c r="E204" s="392"/>
      <c r="F204" s="392"/>
      <c r="G204" s="392"/>
      <c r="H204" s="392"/>
      <c r="I204" s="392"/>
      <c r="J204" s="392"/>
      <c r="K204" s="392"/>
      <c r="L204" s="392"/>
      <c r="M204" s="392"/>
      <c r="N204" s="392"/>
      <c r="O204" s="392"/>
      <c r="P204" s="392"/>
      <c r="Q204" s="392"/>
      <c r="R204" s="392"/>
    </row>
    <row r="205" spans="5:18" ht="15.75">
      <c r="E205" s="392"/>
      <c r="F205" s="392"/>
      <c r="G205" s="392"/>
      <c r="H205" s="392"/>
      <c r="I205" s="392"/>
      <c r="J205" s="392"/>
      <c r="K205" s="392"/>
      <c r="L205" s="392"/>
      <c r="M205" s="392"/>
      <c r="N205" s="392"/>
      <c r="O205" s="392"/>
      <c r="P205" s="392"/>
      <c r="Q205" s="392"/>
      <c r="R205" s="392"/>
    </row>
    <row r="206" spans="5:18" ht="15.75">
      <c r="E206" s="392"/>
      <c r="F206" s="392"/>
      <c r="G206" s="392"/>
      <c r="H206" s="392"/>
      <c r="I206" s="392"/>
      <c r="J206" s="392"/>
      <c r="K206" s="392"/>
      <c r="L206" s="392"/>
      <c r="M206" s="392"/>
      <c r="N206" s="392"/>
      <c r="O206" s="392"/>
      <c r="P206" s="392"/>
      <c r="Q206" s="392"/>
      <c r="R206" s="392"/>
    </row>
    <row r="207" spans="5:18" ht="15.75">
      <c r="E207" s="392"/>
      <c r="F207" s="392"/>
      <c r="G207" s="392"/>
      <c r="H207" s="392"/>
      <c r="I207" s="392"/>
      <c r="J207" s="392"/>
      <c r="K207" s="392"/>
      <c r="L207" s="392"/>
      <c r="M207" s="392"/>
      <c r="N207" s="392"/>
      <c r="O207" s="392"/>
      <c r="P207" s="392"/>
      <c r="Q207" s="392"/>
      <c r="R207" s="392"/>
    </row>
    <row r="208" spans="5:18" ht="15.75">
      <c r="E208" s="392"/>
      <c r="F208" s="392"/>
      <c r="G208" s="392"/>
      <c r="H208" s="392"/>
      <c r="I208" s="392"/>
      <c r="J208" s="392"/>
      <c r="K208" s="392"/>
      <c r="L208" s="392"/>
      <c r="M208" s="392"/>
      <c r="N208" s="392"/>
      <c r="O208" s="392"/>
      <c r="P208" s="392"/>
      <c r="Q208" s="392"/>
      <c r="R208" s="392"/>
    </row>
    <row r="209" spans="5:18" ht="15.75">
      <c r="E209" s="392"/>
      <c r="F209" s="392"/>
      <c r="G209" s="392"/>
      <c r="H209" s="392"/>
      <c r="I209" s="392"/>
      <c r="J209" s="392"/>
      <c r="K209" s="392"/>
      <c r="L209" s="392"/>
      <c r="M209" s="392"/>
      <c r="N209" s="392"/>
      <c r="O209" s="392"/>
      <c r="P209" s="392"/>
      <c r="Q209" s="392"/>
      <c r="R209" s="392"/>
    </row>
    <row r="210" spans="5:18" ht="15.75">
      <c r="E210" s="392"/>
      <c r="F210" s="392"/>
      <c r="G210" s="392"/>
      <c r="H210" s="392"/>
      <c r="I210" s="392"/>
      <c r="J210" s="392"/>
      <c r="K210" s="392"/>
      <c r="L210" s="392"/>
      <c r="M210" s="392"/>
      <c r="N210" s="392"/>
      <c r="O210" s="392"/>
      <c r="P210" s="392"/>
      <c r="Q210" s="392"/>
      <c r="R210" s="392"/>
    </row>
    <row r="211" spans="5:18" ht="15.75">
      <c r="E211" s="392"/>
      <c r="F211" s="392"/>
      <c r="G211" s="392"/>
      <c r="H211" s="392"/>
      <c r="I211" s="392"/>
      <c r="J211" s="392"/>
      <c r="K211" s="392"/>
      <c r="L211" s="392"/>
      <c r="M211" s="392"/>
      <c r="N211" s="392"/>
      <c r="O211" s="392"/>
      <c r="P211" s="392"/>
      <c r="Q211" s="392"/>
      <c r="R211" s="392"/>
    </row>
    <row r="212" spans="5:18" ht="15.75">
      <c r="E212" s="392"/>
      <c r="F212" s="392"/>
      <c r="G212" s="392"/>
      <c r="H212" s="392"/>
      <c r="I212" s="392"/>
      <c r="J212" s="392"/>
      <c r="K212" s="392"/>
      <c r="L212" s="392"/>
      <c r="M212" s="392"/>
      <c r="N212" s="392"/>
      <c r="O212" s="392"/>
      <c r="P212" s="392"/>
      <c r="Q212" s="392"/>
      <c r="R212" s="392"/>
    </row>
    <row r="213" spans="5:18" ht="15.75">
      <c r="E213" s="392"/>
      <c r="F213" s="392"/>
      <c r="G213" s="392"/>
      <c r="H213" s="392"/>
      <c r="I213" s="392"/>
      <c r="J213" s="392"/>
      <c r="K213" s="392"/>
      <c r="L213" s="392"/>
      <c r="M213" s="392"/>
      <c r="N213" s="392"/>
      <c r="O213" s="392"/>
      <c r="P213" s="392"/>
      <c r="Q213" s="392"/>
      <c r="R213" s="392"/>
    </row>
    <row r="214" spans="5:18" ht="15.75">
      <c r="E214" s="392"/>
      <c r="F214" s="392"/>
      <c r="G214" s="392"/>
      <c r="H214" s="392"/>
      <c r="I214" s="392"/>
      <c r="J214" s="392"/>
      <c r="K214" s="392"/>
      <c r="L214" s="392"/>
      <c r="M214" s="392"/>
      <c r="N214" s="392"/>
      <c r="O214" s="392"/>
      <c r="P214" s="392"/>
      <c r="Q214" s="392"/>
      <c r="R214" s="392"/>
    </row>
    <row r="215" spans="5:18" ht="15.75">
      <c r="E215" s="392"/>
      <c r="F215" s="392"/>
      <c r="G215" s="392"/>
      <c r="H215" s="392"/>
      <c r="I215" s="392"/>
      <c r="J215" s="392"/>
      <c r="K215" s="392"/>
      <c r="L215" s="392"/>
      <c r="M215" s="392"/>
      <c r="N215" s="392"/>
      <c r="O215" s="392"/>
      <c r="P215" s="392"/>
      <c r="Q215" s="392"/>
      <c r="R215" s="392"/>
    </row>
    <row r="216" spans="5:18" ht="15.75">
      <c r="E216" s="392"/>
      <c r="F216" s="392"/>
      <c r="G216" s="392"/>
      <c r="H216" s="392"/>
      <c r="I216" s="392"/>
      <c r="J216" s="392"/>
      <c r="K216" s="392"/>
      <c r="L216" s="392"/>
      <c r="M216" s="392"/>
      <c r="N216" s="392"/>
      <c r="O216" s="392"/>
      <c r="P216" s="392"/>
      <c r="Q216" s="392"/>
      <c r="R216" s="392"/>
    </row>
    <row r="217" spans="5:18" ht="15.75">
      <c r="E217" s="392"/>
      <c r="F217" s="392"/>
      <c r="G217" s="392"/>
      <c r="H217" s="392"/>
      <c r="I217" s="392"/>
      <c r="J217" s="392"/>
      <c r="K217" s="392"/>
      <c r="L217" s="392"/>
      <c r="M217" s="392"/>
      <c r="N217" s="392"/>
      <c r="O217" s="392"/>
      <c r="P217" s="392"/>
      <c r="Q217" s="392"/>
      <c r="R217" s="392"/>
    </row>
    <row r="218" spans="5:18" ht="15.75">
      <c r="E218" s="392"/>
      <c r="F218" s="392"/>
      <c r="G218" s="392"/>
      <c r="H218" s="392"/>
      <c r="I218" s="392"/>
      <c r="J218" s="392"/>
      <c r="K218" s="392"/>
      <c r="L218" s="392"/>
      <c r="M218" s="392"/>
      <c r="N218" s="392"/>
      <c r="O218" s="392"/>
      <c r="P218" s="392"/>
      <c r="Q218" s="392"/>
      <c r="R218" s="392"/>
    </row>
    <row r="219" spans="5:18" ht="15.75">
      <c r="E219" s="392"/>
      <c r="F219" s="392"/>
      <c r="G219" s="392"/>
      <c r="H219" s="392"/>
      <c r="I219" s="392"/>
      <c r="J219" s="392"/>
      <c r="K219" s="392"/>
      <c r="L219" s="392"/>
      <c r="M219" s="392"/>
      <c r="N219" s="392"/>
      <c r="O219" s="392"/>
      <c r="P219" s="392"/>
      <c r="Q219" s="392"/>
      <c r="R219" s="392"/>
    </row>
    <row r="220" spans="5:18" ht="15.75">
      <c r="E220" s="392"/>
      <c r="F220" s="392"/>
      <c r="G220" s="392"/>
      <c r="H220" s="392"/>
      <c r="I220" s="392"/>
      <c r="J220" s="392"/>
      <c r="K220" s="392"/>
      <c r="L220" s="392"/>
      <c r="M220" s="392"/>
      <c r="N220" s="392"/>
      <c r="O220" s="392"/>
      <c r="P220" s="392"/>
      <c r="Q220" s="392"/>
      <c r="R220" s="392"/>
    </row>
    <row r="221" spans="5:18" ht="15.75">
      <c r="E221" s="392"/>
      <c r="F221" s="392"/>
      <c r="G221" s="392"/>
      <c r="H221" s="392"/>
      <c r="I221" s="392"/>
      <c r="J221" s="392"/>
      <c r="K221" s="392"/>
      <c r="L221" s="392"/>
      <c r="M221" s="392"/>
      <c r="N221" s="392"/>
      <c r="O221" s="392"/>
      <c r="P221" s="392"/>
      <c r="Q221" s="392"/>
      <c r="R221" s="392"/>
    </row>
    <row r="222" spans="5:18" ht="15.75">
      <c r="E222" s="392"/>
      <c r="F222" s="392"/>
      <c r="G222" s="392"/>
      <c r="H222" s="392"/>
      <c r="I222" s="392"/>
      <c r="J222" s="392"/>
      <c r="K222" s="392"/>
      <c r="L222" s="392"/>
      <c r="M222" s="392"/>
      <c r="N222" s="392"/>
      <c r="O222" s="392"/>
      <c r="P222" s="392"/>
      <c r="Q222" s="392"/>
      <c r="R222" s="392"/>
    </row>
  </sheetData>
  <sheetProtection/>
  <mergeCells count="42">
    <mergeCell ref="A2:X2"/>
    <mergeCell ref="A3:X3"/>
    <mergeCell ref="A4:X4"/>
    <mergeCell ref="T5:X5"/>
    <mergeCell ref="M7:X7"/>
    <mergeCell ref="C8:E9"/>
    <mergeCell ref="F8:I9"/>
    <mergeCell ref="J8:L9"/>
    <mergeCell ref="M8:O9"/>
    <mergeCell ref="P8:S9"/>
    <mergeCell ref="T8:X9"/>
    <mergeCell ref="M10:M12"/>
    <mergeCell ref="N10:O10"/>
    <mergeCell ref="C10:C12"/>
    <mergeCell ref="D10:E10"/>
    <mergeCell ref="F10:F12"/>
    <mergeCell ref="G10:I10"/>
    <mergeCell ref="T10:T12"/>
    <mergeCell ref="N11:N12"/>
    <mergeCell ref="O11:O12"/>
    <mergeCell ref="Q11:R11"/>
    <mergeCell ref="S11:S12"/>
    <mergeCell ref="P10:P12"/>
    <mergeCell ref="Q10:S10"/>
    <mergeCell ref="A15:B15"/>
    <mergeCell ref="A37:B37"/>
    <mergeCell ref="D11:D12"/>
    <mergeCell ref="E11:E12"/>
    <mergeCell ref="A7:B12"/>
    <mergeCell ref="C7:L7"/>
    <mergeCell ref="J10:J12"/>
    <mergeCell ref="K10:L10"/>
    <mergeCell ref="V11:V12"/>
    <mergeCell ref="W11:X11"/>
    <mergeCell ref="A13:B13"/>
    <mergeCell ref="A14:B14"/>
    <mergeCell ref="G11:H11"/>
    <mergeCell ref="I11:I12"/>
    <mergeCell ref="K11:K12"/>
    <mergeCell ref="L11:L12"/>
    <mergeCell ref="U10:U12"/>
    <mergeCell ref="V10:X10"/>
  </mergeCells>
  <printOptions/>
  <pageMargins left="0.25" right="0.25" top="0.25" bottom="0.25" header="0" footer="0"/>
  <pageSetup horizontalDpi="600" verticalDpi="600" orientation="landscape" paperSize="9" scale="60" r:id="rId2"/>
  <drawing r:id="rId1"/>
</worksheet>
</file>

<file path=xl/worksheets/sheet4.xml><?xml version="1.0" encoding="utf-8"?>
<worksheet xmlns="http://schemas.openxmlformats.org/spreadsheetml/2006/main" xmlns:r="http://schemas.openxmlformats.org/officeDocument/2006/relationships">
  <sheetPr>
    <tabColor rgb="FFFFFF00"/>
  </sheetPr>
  <dimension ref="A1:BB323"/>
  <sheetViews>
    <sheetView zoomScalePageLayoutView="0" workbookViewId="0" topLeftCell="A1">
      <pane ySplit="5025" topLeftCell="A14" activePane="bottomLeft" state="split"/>
      <selection pane="topLeft" activeCell="M10" sqref="M10:M12"/>
      <selection pane="bottomLeft" activeCell="R26" sqref="R26"/>
    </sheetView>
  </sheetViews>
  <sheetFormatPr defaultColWidth="9.140625" defaultRowHeight="12.75"/>
  <cols>
    <col min="1" max="1" width="3.28125" style="24" customWidth="1"/>
    <col min="2" max="2" width="17.57421875" style="25" customWidth="1"/>
    <col min="3" max="3" width="7.421875" style="24" customWidth="1"/>
    <col min="4" max="4" width="8.57421875" style="24" customWidth="1"/>
    <col min="5" max="5" width="9.00390625" style="24" customWidth="1"/>
    <col min="6" max="6" width="7.421875" style="24" customWidth="1"/>
    <col min="7" max="7" width="9.57421875" style="24" customWidth="1"/>
    <col min="8" max="8" width="9.140625" style="24" customWidth="1"/>
    <col min="9" max="9" width="7.140625" style="26" customWidth="1"/>
    <col min="10" max="10" width="8.57421875" style="26" customWidth="1"/>
    <col min="11" max="11" width="8.421875" style="26" customWidth="1"/>
    <col min="12" max="12" width="7.00390625" style="24" customWidth="1"/>
    <col min="13" max="13" width="8.00390625" style="24" customWidth="1"/>
    <col min="14" max="14" width="8.7109375" style="24" customWidth="1"/>
    <col min="15" max="15" width="6.7109375" style="24" customWidth="1"/>
    <col min="16" max="16" width="8.8515625" style="24" customWidth="1"/>
    <col min="17" max="17" width="7.8515625" style="26" customWidth="1"/>
    <col min="18" max="18" width="6.7109375" style="26" customWidth="1"/>
    <col min="19" max="19" width="8.57421875" style="26" customWidth="1"/>
    <col min="20" max="20" width="8.28125" style="13" customWidth="1"/>
    <col min="21" max="16384" width="9.140625" style="17" customWidth="1"/>
  </cols>
  <sheetData>
    <row r="1" spans="1:20" ht="19.5" customHeight="1">
      <c r="A1" s="1" t="s">
        <v>318</v>
      </c>
      <c r="B1" s="15"/>
      <c r="C1" s="1"/>
      <c r="D1" s="1"/>
      <c r="E1" s="16"/>
      <c r="F1" s="16"/>
      <c r="G1" s="16"/>
      <c r="H1" s="16"/>
      <c r="I1" s="16"/>
      <c r="J1" s="16"/>
      <c r="K1" s="16"/>
      <c r="L1" s="16"/>
      <c r="M1" s="16"/>
      <c r="N1" s="16"/>
      <c r="O1" s="16"/>
      <c r="P1" s="16"/>
      <c r="Q1" s="16"/>
      <c r="R1" s="16"/>
      <c r="S1" s="16"/>
      <c r="T1" s="16"/>
    </row>
    <row r="2" spans="1:54" s="19" customFormat="1" ht="18.75">
      <c r="A2" s="810" t="s">
        <v>435</v>
      </c>
      <c r="B2" s="810"/>
      <c r="C2" s="810"/>
      <c r="D2" s="810"/>
      <c r="E2" s="810"/>
      <c r="F2" s="810"/>
      <c r="G2" s="810"/>
      <c r="H2" s="810"/>
      <c r="I2" s="810"/>
      <c r="J2" s="810"/>
      <c r="K2" s="810"/>
      <c r="L2" s="810"/>
      <c r="M2" s="810"/>
      <c r="N2" s="810"/>
      <c r="O2" s="810"/>
      <c r="P2" s="810"/>
      <c r="Q2" s="810"/>
      <c r="R2" s="810"/>
      <c r="S2" s="810"/>
      <c r="T2" s="810"/>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row>
    <row r="3" spans="1:54" s="19" customFormat="1" ht="18.75">
      <c r="A3" s="883" t="s">
        <v>462</v>
      </c>
      <c r="B3" s="883"/>
      <c r="C3" s="883"/>
      <c r="D3" s="883"/>
      <c r="E3" s="883"/>
      <c r="F3" s="883"/>
      <c r="G3" s="883"/>
      <c r="H3" s="883"/>
      <c r="I3" s="883"/>
      <c r="J3" s="883"/>
      <c r="K3" s="883"/>
      <c r="L3" s="883"/>
      <c r="M3" s="883"/>
      <c r="N3" s="883"/>
      <c r="O3" s="883"/>
      <c r="P3" s="883"/>
      <c r="Q3" s="883"/>
      <c r="R3" s="883"/>
      <c r="S3" s="883"/>
      <c r="T3" s="883"/>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row>
    <row r="4" spans="1:54" s="19" customFormat="1" ht="21.75" customHeight="1">
      <c r="A4" s="810" t="s">
        <v>319</v>
      </c>
      <c r="B4" s="812"/>
      <c r="C4" s="812"/>
      <c r="D4" s="812"/>
      <c r="E4" s="812"/>
      <c r="F4" s="812"/>
      <c r="G4" s="812"/>
      <c r="H4" s="812"/>
      <c r="I4" s="812"/>
      <c r="J4" s="812"/>
      <c r="K4" s="812"/>
      <c r="L4" s="812"/>
      <c r="M4" s="812"/>
      <c r="N4" s="812"/>
      <c r="O4" s="812"/>
      <c r="P4" s="812"/>
      <c r="Q4" s="812"/>
      <c r="R4" s="812"/>
      <c r="S4" s="812"/>
      <c r="T4" s="812"/>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row>
    <row r="5" spans="1:20" ht="15.75">
      <c r="A5" s="20"/>
      <c r="B5" s="20"/>
      <c r="C5" s="21"/>
      <c r="D5" s="21"/>
      <c r="E5" s="18"/>
      <c r="F5" s="18"/>
      <c r="G5" s="18"/>
      <c r="H5" s="18"/>
      <c r="I5" s="18"/>
      <c r="J5" s="18"/>
      <c r="K5" s="18"/>
      <c r="L5" s="18"/>
      <c r="M5" s="18"/>
      <c r="N5" s="18"/>
      <c r="O5" s="18"/>
      <c r="P5" s="18"/>
      <c r="Q5" s="18"/>
      <c r="R5" s="18"/>
      <c r="S5" s="18"/>
      <c r="T5" s="18"/>
    </row>
    <row r="6" spans="1:20" ht="23.25" customHeight="1">
      <c r="A6" s="887"/>
      <c r="B6" s="888"/>
      <c r="C6" s="893" t="s">
        <v>347</v>
      </c>
      <c r="D6" s="894"/>
      <c r="E6" s="894"/>
      <c r="F6" s="894"/>
      <c r="G6" s="894"/>
      <c r="H6" s="894"/>
      <c r="I6" s="894"/>
      <c r="J6" s="894"/>
      <c r="K6" s="894"/>
      <c r="L6" s="894"/>
      <c r="M6" s="894"/>
      <c r="N6" s="895"/>
      <c r="O6" s="865" t="s">
        <v>348</v>
      </c>
      <c r="P6" s="866"/>
      <c r="Q6" s="866"/>
      <c r="R6" s="866"/>
      <c r="S6" s="866"/>
      <c r="T6" s="867"/>
    </row>
    <row r="7" spans="1:20" ht="33.75" customHeight="1">
      <c r="A7" s="889"/>
      <c r="B7" s="890"/>
      <c r="C7" s="899" t="s">
        <v>434</v>
      </c>
      <c r="D7" s="900"/>
      <c r="E7" s="900"/>
      <c r="F7" s="900"/>
      <c r="G7" s="900"/>
      <c r="H7" s="901"/>
      <c r="I7" s="902" t="s">
        <v>433</v>
      </c>
      <c r="J7" s="900"/>
      <c r="K7" s="900"/>
      <c r="L7" s="900"/>
      <c r="M7" s="900"/>
      <c r="N7" s="901"/>
      <c r="O7" s="896"/>
      <c r="P7" s="897"/>
      <c r="Q7" s="897"/>
      <c r="R7" s="897"/>
      <c r="S7" s="897"/>
      <c r="T7" s="898"/>
    </row>
    <row r="8" spans="1:24" ht="72" customHeight="1">
      <c r="A8" s="889"/>
      <c r="B8" s="890"/>
      <c r="C8" s="886" t="s">
        <v>436</v>
      </c>
      <c r="D8" s="849"/>
      <c r="E8" s="849"/>
      <c r="F8" s="903" t="s">
        <v>437</v>
      </c>
      <c r="G8" s="904"/>
      <c r="H8" s="886"/>
      <c r="I8" s="849" t="s">
        <v>436</v>
      </c>
      <c r="J8" s="849"/>
      <c r="K8" s="849"/>
      <c r="L8" s="903" t="s">
        <v>437</v>
      </c>
      <c r="M8" s="904"/>
      <c r="N8" s="886"/>
      <c r="O8" s="903" t="s">
        <v>349</v>
      </c>
      <c r="P8" s="904"/>
      <c r="Q8" s="886"/>
      <c r="R8" s="903" t="s">
        <v>438</v>
      </c>
      <c r="S8" s="904"/>
      <c r="T8" s="886"/>
      <c r="V8" s="80"/>
      <c r="W8" s="81"/>
      <c r="X8" s="82"/>
    </row>
    <row r="9" spans="1:20" ht="23.25" customHeight="1">
      <c r="A9" s="889"/>
      <c r="B9" s="890"/>
      <c r="C9" s="886" t="s">
        <v>332</v>
      </c>
      <c r="D9" s="849" t="s">
        <v>321</v>
      </c>
      <c r="E9" s="849"/>
      <c r="F9" s="849" t="s">
        <v>332</v>
      </c>
      <c r="G9" s="849" t="s">
        <v>321</v>
      </c>
      <c r="H9" s="849"/>
      <c r="I9" s="849" t="s">
        <v>332</v>
      </c>
      <c r="J9" s="849" t="s">
        <v>321</v>
      </c>
      <c r="K9" s="849"/>
      <c r="L9" s="849" t="s">
        <v>332</v>
      </c>
      <c r="M9" s="849" t="s">
        <v>321</v>
      </c>
      <c r="N9" s="849"/>
      <c r="O9" s="849" t="s">
        <v>332</v>
      </c>
      <c r="P9" s="849" t="s">
        <v>321</v>
      </c>
      <c r="Q9" s="849"/>
      <c r="R9" s="849" t="s">
        <v>332</v>
      </c>
      <c r="S9" s="849" t="s">
        <v>321</v>
      </c>
      <c r="T9" s="849"/>
    </row>
    <row r="10" spans="1:21" ht="28.5" customHeight="1">
      <c r="A10" s="889"/>
      <c r="B10" s="890"/>
      <c r="C10" s="886"/>
      <c r="D10" s="885" t="s">
        <v>333</v>
      </c>
      <c r="E10" s="885" t="s">
        <v>320</v>
      </c>
      <c r="F10" s="849"/>
      <c r="G10" s="885" t="s">
        <v>333</v>
      </c>
      <c r="H10" s="885" t="s">
        <v>320</v>
      </c>
      <c r="I10" s="849"/>
      <c r="J10" s="885" t="s">
        <v>333</v>
      </c>
      <c r="K10" s="885" t="s">
        <v>320</v>
      </c>
      <c r="L10" s="849"/>
      <c r="M10" s="885" t="s">
        <v>333</v>
      </c>
      <c r="N10" s="885" t="s">
        <v>320</v>
      </c>
      <c r="O10" s="849"/>
      <c r="P10" s="885" t="s">
        <v>333</v>
      </c>
      <c r="Q10" s="885" t="s">
        <v>320</v>
      </c>
      <c r="R10" s="849"/>
      <c r="S10" s="885" t="s">
        <v>333</v>
      </c>
      <c r="T10" s="885" t="s">
        <v>320</v>
      </c>
      <c r="U10" s="42"/>
    </row>
    <row r="11" spans="1:21" ht="18.75" customHeight="1">
      <c r="A11" s="889"/>
      <c r="B11" s="890"/>
      <c r="C11" s="886"/>
      <c r="D11" s="885"/>
      <c r="E11" s="885"/>
      <c r="F11" s="849"/>
      <c r="G11" s="885"/>
      <c r="H11" s="885"/>
      <c r="I11" s="849"/>
      <c r="J11" s="885"/>
      <c r="K11" s="885"/>
      <c r="L11" s="849"/>
      <c r="M11" s="885"/>
      <c r="N11" s="885"/>
      <c r="O11" s="849"/>
      <c r="P11" s="885"/>
      <c r="Q11" s="885"/>
      <c r="R11" s="849"/>
      <c r="S11" s="885"/>
      <c r="T11" s="885"/>
      <c r="U11" s="42"/>
    </row>
    <row r="12" spans="1:20" ht="62.25" customHeight="1">
      <c r="A12" s="891"/>
      <c r="B12" s="892"/>
      <c r="C12" s="886"/>
      <c r="D12" s="885"/>
      <c r="E12" s="885"/>
      <c r="F12" s="849"/>
      <c r="G12" s="885"/>
      <c r="H12" s="885"/>
      <c r="I12" s="849"/>
      <c r="J12" s="885"/>
      <c r="K12" s="885"/>
      <c r="L12" s="849"/>
      <c r="M12" s="885"/>
      <c r="N12" s="885"/>
      <c r="O12" s="849"/>
      <c r="P12" s="885"/>
      <c r="Q12" s="885"/>
      <c r="R12" s="849"/>
      <c r="S12" s="885"/>
      <c r="T12" s="885"/>
    </row>
    <row r="13" spans="1:20" s="61" customFormat="1" ht="18.75" customHeight="1">
      <c r="A13" s="849" t="s">
        <v>323</v>
      </c>
      <c r="B13" s="849"/>
      <c r="C13" s="60">
        <v>1</v>
      </c>
      <c r="D13" s="60">
        <v>2</v>
      </c>
      <c r="E13" s="60">
        <v>3</v>
      </c>
      <c r="F13" s="60">
        <v>4</v>
      </c>
      <c r="G13" s="60">
        <v>5</v>
      </c>
      <c r="H13" s="60">
        <v>6</v>
      </c>
      <c r="I13" s="60">
        <v>7</v>
      </c>
      <c r="J13" s="60">
        <v>8</v>
      </c>
      <c r="K13" s="60">
        <v>9</v>
      </c>
      <c r="L13" s="60">
        <v>10</v>
      </c>
      <c r="M13" s="60">
        <v>11</v>
      </c>
      <c r="N13" s="60">
        <v>12</v>
      </c>
      <c r="O13" s="60">
        <v>13</v>
      </c>
      <c r="P13" s="60">
        <v>14</v>
      </c>
      <c r="Q13" s="60">
        <v>15</v>
      </c>
      <c r="R13" s="60">
        <v>16</v>
      </c>
      <c r="S13" s="60">
        <v>17</v>
      </c>
      <c r="T13" s="60">
        <v>18</v>
      </c>
    </row>
    <row r="14" spans="1:20" s="72" customFormat="1" ht="32.25" customHeight="1">
      <c r="A14" s="850" t="s">
        <v>324</v>
      </c>
      <c r="B14" s="850"/>
      <c r="C14" s="83">
        <f aca="true" t="shared" si="0" ref="C14:T14">C16+C15+C41</f>
        <v>884</v>
      </c>
      <c r="D14" s="83">
        <f t="shared" si="0"/>
        <v>74</v>
      </c>
      <c r="E14" s="83">
        <f t="shared" si="0"/>
        <v>810</v>
      </c>
      <c r="F14" s="83">
        <f t="shared" si="0"/>
        <v>227</v>
      </c>
      <c r="G14" s="83">
        <f t="shared" si="0"/>
        <v>45</v>
      </c>
      <c r="H14" s="83">
        <f t="shared" si="0"/>
        <v>182</v>
      </c>
      <c r="I14" s="83">
        <f t="shared" si="0"/>
        <v>539</v>
      </c>
      <c r="J14" s="83">
        <f t="shared" si="0"/>
        <v>45</v>
      </c>
      <c r="K14" s="83">
        <f t="shared" si="0"/>
        <v>494</v>
      </c>
      <c r="L14" s="83">
        <f t="shared" si="0"/>
        <v>142</v>
      </c>
      <c r="M14" s="83">
        <f t="shared" si="0"/>
        <v>19</v>
      </c>
      <c r="N14" s="83">
        <f t="shared" si="0"/>
        <v>123</v>
      </c>
      <c r="O14" s="83">
        <f t="shared" si="0"/>
        <v>1191</v>
      </c>
      <c r="P14" s="83">
        <f t="shared" si="0"/>
        <v>289</v>
      </c>
      <c r="Q14" s="83">
        <f t="shared" si="0"/>
        <v>902</v>
      </c>
      <c r="R14" s="83">
        <f t="shared" si="0"/>
        <v>244</v>
      </c>
      <c r="S14" s="83">
        <f t="shared" si="0"/>
        <v>51</v>
      </c>
      <c r="T14" s="83">
        <f t="shared" si="0"/>
        <v>193</v>
      </c>
    </row>
    <row r="15" spans="1:20" s="72" customFormat="1" ht="32.25" customHeight="1">
      <c r="A15" s="160" t="s">
        <v>458</v>
      </c>
      <c r="B15" s="160" t="s">
        <v>459</v>
      </c>
      <c r="C15" s="84"/>
      <c r="D15" s="101"/>
      <c r="E15" s="101"/>
      <c r="F15" s="84"/>
      <c r="G15" s="101"/>
      <c r="H15" s="101"/>
      <c r="I15" s="84"/>
      <c r="J15" s="152"/>
      <c r="K15" s="153"/>
      <c r="L15" s="84"/>
      <c r="M15" s="153"/>
      <c r="N15" s="153"/>
      <c r="O15" s="84">
        <f>P15+Q15</f>
        <v>619</v>
      </c>
      <c r="P15" s="9">
        <v>207</v>
      </c>
      <c r="Q15" s="8">
        <v>412</v>
      </c>
      <c r="R15" s="84">
        <f>S15+T15</f>
        <v>64</v>
      </c>
      <c r="S15" s="8">
        <v>22</v>
      </c>
      <c r="T15" s="9">
        <v>42</v>
      </c>
    </row>
    <row r="16" spans="1:20" s="72" customFormat="1" ht="30.75" customHeight="1">
      <c r="A16" s="850" t="s">
        <v>460</v>
      </c>
      <c r="B16" s="850"/>
      <c r="C16" s="85">
        <f>D16+E16</f>
        <v>541</v>
      </c>
      <c r="D16" s="85">
        <v>30</v>
      </c>
      <c r="E16" s="85">
        <f>SUM(E17:E40)</f>
        <v>511</v>
      </c>
      <c r="F16" s="85">
        <f>G16+H16</f>
        <v>120</v>
      </c>
      <c r="G16" s="85">
        <v>28</v>
      </c>
      <c r="H16" s="85">
        <f>SUM(H17:H40)</f>
        <v>92</v>
      </c>
      <c r="I16" s="85">
        <f>J16+K16</f>
        <v>325</v>
      </c>
      <c r="J16" s="85">
        <v>6</v>
      </c>
      <c r="K16" s="85">
        <f>SUM(K17:K40)</f>
        <v>319</v>
      </c>
      <c r="L16" s="85">
        <f>N16+M16</f>
        <v>82</v>
      </c>
      <c r="M16" s="85">
        <v>6</v>
      </c>
      <c r="N16" s="85">
        <f>SUM(N17:N40)</f>
        <v>76</v>
      </c>
      <c r="O16" s="85">
        <f>P16+Q16</f>
        <v>239</v>
      </c>
      <c r="P16" s="85">
        <v>28</v>
      </c>
      <c r="Q16" s="85">
        <f>SUM(Q17:Q40)</f>
        <v>211</v>
      </c>
      <c r="R16" s="85">
        <f>S16+T16</f>
        <v>70</v>
      </c>
      <c r="S16" s="85">
        <v>6</v>
      </c>
      <c r="T16" s="85">
        <f>SUM(T17:T40)</f>
        <v>64</v>
      </c>
    </row>
    <row r="17" spans="1:20" s="72" customFormat="1" ht="15.75">
      <c r="A17" s="639">
        <v>1</v>
      </c>
      <c r="B17" s="110" t="s">
        <v>479</v>
      </c>
      <c r="C17" s="84">
        <f>D17+E17</f>
        <v>9</v>
      </c>
      <c r="D17" s="74"/>
      <c r="E17" s="115">
        <v>9</v>
      </c>
      <c r="F17" s="84">
        <f>G17+H17</f>
        <v>1</v>
      </c>
      <c r="G17" s="74"/>
      <c r="H17" s="115">
        <v>1</v>
      </c>
      <c r="I17" s="84">
        <f>J17+K17</f>
        <v>0</v>
      </c>
      <c r="J17" s="9"/>
      <c r="K17" s="118"/>
      <c r="L17" s="84">
        <f>M17+N17</f>
        <v>0</v>
      </c>
      <c r="M17" s="8"/>
      <c r="N17" s="118"/>
      <c r="O17" s="84">
        <f>P17+Q17</f>
        <v>9</v>
      </c>
      <c r="P17" s="9"/>
      <c r="Q17" s="698">
        <v>9</v>
      </c>
      <c r="R17" s="84">
        <f>S17+T17</f>
        <v>1</v>
      </c>
      <c r="S17" s="8"/>
      <c r="T17" s="698">
        <v>1</v>
      </c>
    </row>
    <row r="18" spans="1:20" s="72" customFormat="1" ht="31.5">
      <c r="A18" s="639">
        <v>2</v>
      </c>
      <c r="B18" s="111" t="s">
        <v>480</v>
      </c>
      <c r="C18" s="84">
        <f aca="true" t="shared" si="1" ref="C18:C76">D18+E18</f>
        <v>19</v>
      </c>
      <c r="D18" s="74"/>
      <c r="E18" s="116">
        <v>19</v>
      </c>
      <c r="F18" s="84">
        <f aca="true" t="shared" si="2" ref="F18:F40">G18+H18</f>
        <v>4</v>
      </c>
      <c r="G18" s="74"/>
      <c r="H18" s="116">
        <v>4</v>
      </c>
      <c r="I18" s="84">
        <f aca="true" t="shared" si="3" ref="I18:I40">J18+K18</f>
        <v>23</v>
      </c>
      <c r="J18" s="9"/>
      <c r="K18" s="116">
        <v>23</v>
      </c>
      <c r="L18" s="84">
        <f aca="true" t="shared" si="4" ref="L18:L40">M18+N18</f>
        <v>5</v>
      </c>
      <c r="M18" s="8"/>
      <c r="N18" s="116">
        <v>5</v>
      </c>
      <c r="O18" s="84">
        <f aca="true" t="shared" si="5" ref="O18:O40">P18+Q18</f>
        <v>23</v>
      </c>
      <c r="P18" s="9"/>
      <c r="Q18" s="699">
        <v>23</v>
      </c>
      <c r="R18" s="84">
        <f aca="true" t="shared" si="6" ref="R18:R40">S18+T18</f>
        <v>5</v>
      </c>
      <c r="S18" s="8"/>
      <c r="T18" s="699">
        <v>5</v>
      </c>
    </row>
    <row r="19" spans="1:20" s="72" customFormat="1" ht="31.5">
      <c r="A19" s="639">
        <v>3</v>
      </c>
      <c r="B19" s="112" t="s">
        <v>465</v>
      </c>
      <c r="C19" s="84">
        <f t="shared" si="1"/>
        <v>78</v>
      </c>
      <c r="D19" s="74"/>
      <c r="E19" s="117">
        <v>78</v>
      </c>
      <c r="F19" s="84">
        <f t="shared" si="2"/>
        <v>8</v>
      </c>
      <c r="G19" s="74"/>
      <c r="H19" s="117">
        <v>8</v>
      </c>
      <c r="I19" s="84">
        <f t="shared" si="3"/>
        <v>24</v>
      </c>
      <c r="J19" s="9"/>
      <c r="K19" s="118">
        <v>24</v>
      </c>
      <c r="L19" s="84">
        <f t="shared" si="4"/>
        <v>4</v>
      </c>
      <c r="M19" s="8"/>
      <c r="N19" s="118">
        <v>4</v>
      </c>
      <c r="O19" s="84">
        <f t="shared" si="5"/>
        <v>25</v>
      </c>
      <c r="P19" s="9"/>
      <c r="Q19" s="698">
        <v>25</v>
      </c>
      <c r="R19" s="84">
        <f t="shared" si="6"/>
        <v>4</v>
      </c>
      <c r="S19" s="8"/>
      <c r="T19" s="698">
        <v>4</v>
      </c>
    </row>
    <row r="20" spans="1:20" s="72" customFormat="1" ht="31.5">
      <c r="A20" s="639">
        <v>4</v>
      </c>
      <c r="B20" s="111" t="s">
        <v>350</v>
      </c>
      <c r="C20" s="84">
        <f t="shared" si="1"/>
        <v>9</v>
      </c>
      <c r="D20" s="74"/>
      <c r="E20" s="118">
        <v>9</v>
      </c>
      <c r="F20" s="84">
        <f t="shared" si="2"/>
        <v>8</v>
      </c>
      <c r="G20" s="74"/>
      <c r="H20" s="118">
        <v>8</v>
      </c>
      <c r="I20" s="84">
        <f t="shared" si="3"/>
        <v>15</v>
      </c>
      <c r="J20" s="9"/>
      <c r="K20" s="118">
        <v>15</v>
      </c>
      <c r="L20" s="84">
        <f t="shared" si="4"/>
        <v>9</v>
      </c>
      <c r="M20" s="8"/>
      <c r="N20" s="118">
        <v>9</v>
      </c>
      <c r="O20" s="84">
        <f t="shared" si="5"/>
        <v>5</v>
      </c>
      <c r="P20" s="9"/>
      <c r="Q20" s="698">
        <v>5</v>
      </c>
      <c r="R20" s="84">
        <f t="shared" si="6"/>
        <v>7</v>
      </c>
      <c r="S20" s="8"/>
      <c r="T20" s="698">
        <v>7</v>
      </c>
    </row>
    <row r="21" spans="1:20" s="72" customFormat="1" ht="31.5">
      <c r="A21" s="639">
        <v>5</v>
      </c>
      <c r="B21" s="111" t="s">
        <v>355</v>
      </c>
      <c r="C21" s="84">
        <f t="shared" si="1"/>
        <v>199</v>
      </c>
      <c r="D21" s="74"/>
      <c r="E21" s="118">
        <v>199</v>
      </c>
      <c r="F21" s="84">
        <f t="shared" si="2"/>
        <v>8</v>
      </c>
      <c r="G21" s="74"/>
      <c r="H21" s="118">
        <v>8</v>
      </c>
      <c r="I21" s="84">
        <f t="shared" si="3"/>
        <v>42</v>
      </c>
      <c r="J21" s="9"/>
      <c r="K21" s="116">
        <v>42</v>
      </c>
      <c r="L21" s="84">
        <f t="shared" si="4"/>
        <v>4</v>
      </c>
      <c r="M21" s="8"/>
      <c r="N21" s="116">
        <v>4</v>
      </c>
      <c r="O21" s="84">
        <f t="shared" si="5"/>
        <v>42</v>
      </c>
      <c r="P21" s="9"/>
      <c r="Q21" s="700">
        <v>42</v>
      </c>
      <c r="R21" s="84">
        <f t="shared" si="6"/>
        <v>4</v>
      </c>
      <c r="S21" s="8"/>
      <c r="T21" s="700">
        <v>4</v>
      </c>
    </row>
    <row r="22" spans="1:20" s="72" customFormat="1" ht="31.5">
      <c r="A22" s="639">
        <v>6</v>
      </c>
      <c r="B22" s="111" t="s">
        <v>356</v>
      </c>
      <c r="C22" s="84">
        <f t="shared" si="1"/>
        <v>0</v>
      </c>
      <c r="D22" s="74"/>
      <c r="E22" s="118"/>
      <c r="F22" s="84">
        <f t="shared" si="2"/>
        <v>0</v>
      </c>
      <c r="G22" s="74"/>
      <c r="H22" s="118"/>
      <c r="I22" s="84">
        <f t="shared" si="3"/>
        <v>0</v>
      </c>
      <c r="J22" s="9"/>
      <c r="K22" s="118"/>
      <c r="L22" s="84">
        <f t="shared" si="4"/>
        <v>0</v>
      </c>
      <c r="M22" s="8"/>
      <c r="N22" s="118"/>
      <c r="O22" s="84">
        <f t="shared" si="5"/>
        <v>0</v>
      </c>
      <c r="P22" s="9"/>
      <c r="Q22" s="698"/>
      <c r="R22" s="84">
        <f t="shared" si="6"/>
        <v>0</v>
      </c>
      <c r="S22" s="8"/>
      <c r="T22" s="698"/>
    </row>
    <row r="23" spans="1:20" s="72" customFormat="1" ht="47.25">
      <c r="A23" s="639">
        <v>7</v>
      </c>
      <c r="B23" s="111" t="s">
        <v>481</v>
      </c>
      <c r="C23" s="84">
        <f t="shared" si="1"/>
        <v>17</v>
      </c>
      <c r="D23" s="74"/>
      <c r="E23" s="117">
        <v>17</v>
      </c>
      <c r="F23" s="84">
        <f t="shared" si="2"/>
        <v>6</v>
      </c>
      <c r="G23" s="74"/>
      <c r="H23" s="117">
        <v>6</v>
      </c>
      <c r="I23" s="84">
        <f t="shared" si="3"/>
        <v>15</v>
      </c>
      <c r="J23" s="9"/>
      <c r="K23" s="117">
        <v>15</v>
      </c>
      <c r="L23" s="84">
        <f t="shared" si="4"/>
        <v>4</v>
      </c>
      <c r="M23" s="8"/>
      <c r="N23" s="117">
        <v>4</v>
      </c>
      <c r="O23" s="84">
        <f t="shared" si="5"/>
        <v>14</v>
      </c>
      <c r="P23" s="9"/>
      <c r="Q23" s="698">
        <v>14</v>
      </c>
      <c r="R23" s="84">
        <f t="shared" si="6"/>
        <v>4</v>
      </c>
      <c r="S23" s="8"/>
      <c r="T23" s="698">
        <v>4</v>
      </c>
    </row>
    <row r="24" spans="1:20" s="72" customFormat="1" ht="15.75">
      <c r="A24" s="639">
        <v>8</v>
      </c>
      <c r="B24" s="113" t="s">
        <v>482</v>
      </c>
      <c r="C24" s="84">
        <f t="shared" si="1"/>
        <v>0</v>
      </c>
      <c r="D24" s="74"/>
      <c r="E24" s="118">
        <v>0</v>
      </c>
      <c r="F24" s="84">
        <f t="shared" si="2"/>
        <v>0</v>
      </c>
      <c r="G24" s="74"/>
      <c r="H24" s="118">
        <v>0</v>
      </c>
      <c r="I24" s="84">
        <f t="shared" si="3"/>
        <v>0</v>
      </c>
      <c r="J24" s="9"/>
      <c r="K24" s="118">
        <v>0</v>
      </c>
      <c r="L24" s="84">
        <f t="shared" si="4"/>
        <v>0</v>
      </c>
      <c r="M24" s="8"/>
      <c r="N24" s="118">
        <v>0</v>
      </c>
      <c r="O24" s="84">
        <f t="shared" si="5"/>
        <v>0</v>
      </c>
      <c r="P24" s="9"/>
      <c r="Q24" s="698">
        <v>0</v>
      </c>
      <c r="R24" s="84">
        <f t="shared" si="6"/>
        <v>0</v>
      </c>
      <c r="S24" s="8"/>
      <c r="T24" s="698">
        <v>0</v>
      </c>
    </row>
    <row r="25" spans="1:20" s="72" customFormat="1" ht="15.75">
      <c r="A25" s="639">
        <v>9</v>
      </c>
      <c r="B25" s="114" t="s">
        <v>483</v>
      </c>
      <c r="C25" s="84">
        <f t="shared" si="1"/>
        <v>2</v>
      </c>
      <c r="D25" s="74"/>
      <c r="E25" s="118">
        <v>2</v>
      </c>
      <c r="F25" s="84">
        <f t="shared" si="2"/>
        <v>1</v>
      </c>
      <c r="G25" s="74"/>
      <c r="H25" s="118">
        <v>1</v>
      </c>
      <c r="I25" s="84">
        <f t="shared" si="3"/>
        <v>0</v>
      </c>
      <c r="J25" s="9"/>
      <c r="K25" s="118">
        <v>0</v>
      </c>
      <c r="L25" s="84">
        <f t="shared" si="4"/>
        <v>0</v>
      </c>
      <c r="M25" s="8"/>
      <c r="N25" s="118">
        <v>0</v>
      </c>
      <c r="O25" s="84">
        <f t="shared" si="5"/>
        <v>0</v>
      </c>
      <c r="P25" s="9"/>
      <c r="Q25" s="699"/>
      <c r="R25" s="84">
        <f t="shared" si="6"/>
        <v>3</v>
      </c>
      <c r="S25" s="8"/>
      <c r="T25" s="699">
        <v>3</v>
      </c>
    </row>
    <row r="26" spans="1:20" s="72" customFormat="1" ht="47.25">
      <c r="A26" s="639">
        <v>10</v>
      </c>
      <c r="B26" s="111" t="s">
        <v>484</v>
      </c>
      <c r="C26" s="84">
        <f t="shared" si="1"/>
        <v>0</v>
      </c>
      <c r="D26" s="74"/>
      <c r="E26" s="118"/>
      <c r="F26" s="84">
        <f t="shared" si="2"/>
        <v>15</v>
      </c>
      <c r="G26" s="74"/>
      <c r="H26" s="118">
        <v>15</v>
      </c>
      <c r="I26" s="84">
        <f t="shared" si="3"/>
        <v>0</v>
      </c>
      <c r="J26" s="9"/>
      <c r="K26" s="118"/>
      <c r="L26" s="84">
        <f t="shared" si="4"/>
        <v>8</v>
      </c>
      <c r="M26" s="8"/>
      <c r="N26" s="118">
        <v>8</v>
      </c>
      <c r="O26" s="84">
        <f t="shared" si="5"/>
        <v>0</v>
      </c>
      <c r="P26" s="9"/>
      <c r="Q26" s="701"/>
      <c r="R26" s="84">
        <f t="shared" si="6"/>
        <v>8</v>
      </c>
      <c r="S26" s="8"/>
      <c r="T26" s="701">
        <v>8</v>
      </c>
    </row>
    <row r="27" spans="1:20" s="72" customFormat="1" ht="31.5">
      <c r="A27" s="639">
        <v>11</v>
      </c>
      <c r="B27" s="113" t="s">
        <v>447</v>
      </c>
      <c r="C27" s="84">
        <f t="shared" si="1"/>
        <v>34</v>
      </c>
      <c r="D27" s="74"/>
      <c r="E27" s="118">
        <v>34</v>
      </c>
      <c r="F27" s="84">
        <f t="shared" si="2"/>
        <v>2</v>
      </c>
      <c r="G27" s="74"/>
      <c r="H27" s="118">
        <v>2</v>
      </c>
      <c r="I27" s="84">
        <f t="shared" si="3"/>
        <v>21</v>
      </c>
      <c r="J27" s="9"/>
      <c r="K27" s="118">
        <v>21</v>
      </c>
      <c r="L27" s="84">
        <f t="shared" si="4"/>
        <v>1</v>
      </c>
      <c r="M27" s="8"/>
      <c r="N27" s="118">
        <v>1</v>
      </c>
      <c r="O27" s="84">
        <f t="shared" si="5"/>
        <v>0</v>
      </c>
      <c r="P27" s="9"/>
      <c r="Q27" s="702"/>
      <c r="R27" s="84">
        <f t="shared" si="6"/>
        <v>0</v>
      </c>
      <c r="S27" s="8"/>
      <c r="T27" s="702"/>
    </row>
    <row r="28" spans="1:20" s="72" customFormat="1" ht="15.75">
      <c r="A28" s="639">
        <v>12</v>
      </c>
      <c r="B28" s="111" t="s">
        <v>357</v>
      </c>
      <c r="C28" s="84">
        <f t="shared" si="1"/>
        <v>31</v>
      </c>
      <c r="D28" s="74"/>
      <c r="E28" s="118">
        <v>31</v>
      </c>
      <c r="F28" s="84">
        <f t="shared" si="2"/>
        <v>6</v>
      </c>
      <c r="G28" s="74"/>
      <c r="H28" s="118">
        <v>6</v>
      </c>
      <c r="I28" s="84">
        <f t="shared" si="3"/>
        <v>39</v>
      </c>
      <c r="J28" s="9"/>
      <c r="K28" s="118">
        <v>39</v>
      </c>
      <c r="L28" s="84">
        <f t="shared" si="4"/>
        <v>11</v>
      </c>
      <c r="M28" s="8"/>
      <c r="N28" s="118">
        <v>11</v>
      </c>
      <c r="O28" s="84">
        <f t="shared" si="5"/>
        <v>52</v>
      </c>
      <c r="P28" s="9"/>
      <c r="Q28" s="700">
        <v>52</v>
      </c>
      <c r="R28" s="84">
        <f t="shared" si="6"/>
        <v>15</v>
      </c>
      <c r="S28" s="8"/>
      <c r="T28" s="700">
        <v>15</v>
      </c>
    </row>
    <row r="29" spans="1:20" s="72" customFormat="1" ht="31.5">
      <c r="A29" s="639">
        <v>13</v>
      </c>
      <c r="B29" s="113" t="s">
        <v>358</v>
      </c>
      <c r="C29" s="84">
        <f t="shared" si="1"/>
        <v>9</v>
      </c>
      <c r="D29" s="74"/>
      <c r="E29" s="118">
        <v>9</v>
      </c>
      <c r="F29" s="84">
        <f t="shared" si="2"/>
        <v>3</v>
      </c>
      <c r="G29" s="74"/>
      <c r="H29" s="118">
        <v>3</v>
      </c>
      <c r="I29" s="84">
        <f t="shared" si="3"/>
        <v>5</v>
      </c>
      <c r="J29" s="9"/>
      <c r="K29" s="118">
        <v>5</v>
      </c>
      <c r="L29" s="84">
        <f t="shared" si="4"/>
        <v>1</v>
      </c>
      <c r="M29" s="8"/>
      <c r="N29" s="118">
        <v>1</v>
      </c>
      <c r="O29" s="84">
        <f t="shared" si="5"/>
        <v>1</v>
      </c>
      <c r="P29" s="9"/>
      <c r="Q29" s="698">
        <v>1</v>
      </c>
      <c r="R29" s="84">
        <f t="shared" si="6"/>
        <v>1</v>
      </c>
      <c r="S29" s="8"/>
      <c r="T29" s="698">
        <v>1</v>
      </c>
    </row>
    <row r="30" spans="1:20" s="72" customFormat="1" ht="47.25">
      <c r="A30" s="639">
        <v>14</v>
      </c>
      <c r="B30" s="111" t="s">
        <v>359</v>
      </c>
      <c r="C30" s="84">
        <f t="shared" si="1"/>
        <v>14</v>
      </c>
      <c r="D30" s="74"/>
      <c r="E30" s="118">
        <v>14</v>
      </c>
      <c r="F30" s="84">
        <f t="shared" si="2"/>
        <v>5</v>
      </c>
      <c r="G30" s="74"/>
      <c r="H30" s="118">
        <v>5</v>
      </c>
      <c r="I30" s="84">
        <f t="shared" si="3"/>
        <v>14</v>
      </c>
      <c r="J30" s="9"/>
      <c r="K30" s="118">
        <v>14</v>
      </c>
      <c r="L30" s="84">
        <f t="shared" si="4"/>
        <v>5</v>
      </c>
      <c r="M30" s="8"/>
      <c r="N30" s="118">
        <v>5</v>
      </c>
      <c r="O30" s="84">
        <f t="shared" si="5"/>
        <v>12</v>
      </c>
      <c r="P30" s="9"/>
      <c r="Q30" s="699">
        <v>12</v>
      </c>
      <c r="R30" s="84">
        <f t="shared" si="6"/>
        <v>2</v>
      </c>
      <c r="S30" s="8"/>
      <c r="T30" s="699">
        <v>2</v>
      </c>
    </row>
    <row r="31" spans="1:20" s="72" customFormat="1" ht="15.75">
      <c r="A31" s="639">
        <v>15</v>
      </c>
      <c r="B31" s="113" t="s">
        <v>485</v>
      </c>
      <c r="C31" s="84">
        <f t="shared" si="1"/>
        <v>31</v>
      </c>
      <c r="D31" s="74"/>
      <c r="E31" s="115">
        <v>31</v>
      </c>
      <c r="F31" s="84">
        <f t="shared" si="2"/>
        <v>12</v>
      </c>
      <c r="G31" s="74"/>
      <c r="H31" s="115">
        <v>12</v>
      </c>
      <c r="I31" s="84">
        <f t="shared" si="3"/>
        <v>31</v>
      </c>
      <c r="J31" s="9"/>
      <c r="K31" s="118">
        <v>31</v>
      </c>
      <c r="L31" s="84">
        <f t="shared" si="4"/>
        <v>12</v>
      </c>
      <c r="M31" s="8"/>
      <c r="N31" s="118">
        <v>12</v>
      </c>
      <c r="O31" s="84">
        <f t="shared" si="5"/>
        <v>6</v>
      </c>
      <c r="P31" s="9"/>
      <c r="Q31" s="703">
        <v>6</v>
      </c>
      <c r="R31" s="84">
        <f t="shared" si="6"/>
        <v>2</v>
      </c>
      <c r="S31" s="8"/>
      <c r="T31" s="703">
        <v>2</v>
      </c>
    </row>
    <row r="32" spans="1:20" s="72" customFormat="1" ht="47.25">
      <c r="A32" s="639">
        <v>16</v>
      </c>
      <c r="B32" s="111" t="s">
        <v>486</v>
      </c>
      <c r="C32" s="84">
        <f t="shared" si="1"/>
        <v>2</v>
      </c>
      <c r="D32" s="74"/>
      <c r="E32" s="118">
        <v>2</v>
      </c>
      <c r="F32" s="84">
        <f t="shared" si="2"/>
        <v>1</v>
      </c>
      <c r="G32" s="74"/>
      <c r="H32" s="118">
        <v>1</v>
      </c>
      <c r="I32" s="84">
        <f t="shared" si="3"/>
        <v>3</v>
      </c>
      <c r="J32" s="9"/>
      <c r="K32" s="118">
        <v>3</v>
      </c>
      <c r="L32" s="84">
        <f t="shared" si="4"/>
        <v>1</v>
      </c>
      <c r="M32" s="8"/>
      <c r="N32" s="118">
        <v>1</v>
      </c>
      <c r="O32" s="84">
        <f t="shared" si="5"/>
        <v>0</v>
      </c>
      <c r="P32" s="9"/>
      <c r="Q32" s="699">
        <v>0</v>
      </c>
      <c r="R32" s="84">
        <f t="shared" si="6"/>
        <v>0</v>
      </c>
      <c r="S32" s="8"/>
      <c r="T32" s="699">
        <v>0</v>
      </c>
    </row>
    <row r="33" spans="1:20" s="72" customFormat="1" ht="15.75">
      <c r="A33" s="639">
        <v>17</v>
      </c>
      <c r="B33" s="111" t="s">
        <v>487</v>
      </c>
      <c r="C33" s="84">
        <f t="shared" si="1"/>
        <v>24</v>
      </c>
      <c r="D33" s="74"/>
      <c r="E33" s="118">
        <v>24</v>
      </c>
      <c r="F33" s="84">
        <f t="shared" si="2"/>
        <v>3</v>
      </c>
      <c r="G33" s="74"/>
      <c r="H33" s="118">
        <v>3</v>
      </c>
      <c r="I33" s="84">
        <f t="shared" si="3"/>
        <v>18</v>
      </c>
      <c r="J33" s="9"/>
      <c r="K33" s="118">
        <v>18</v>
      </c>
      <c r="L33" s="84">
        <f t="shared" si="4"/>
        <v>2</v>
      </c>
      <c r="M33" s="8"/>
      <c r="N33" s="118">
        <v>2</v>
      </c>
      <c r="O33" s="84">
        <f t="shared" si="5"/>
        <v>12</v>
      </c>
      <c r="P33" s="9"/>
      <c r="Q33" s="698">
        <v>12</v>
      </c>
      <c r="R33" s="84">
        <f t="shared" si="6"/>
        <v>2</v>
      </c>
      <c r="S33" s="8"/>
      <c r="T33" s="698">
        <v>2</v>
      </c>
    </row>
    <row r="34" spans="1:20" s="72" customFormat="1" ht="15.75">
      <c r="A34" s="639">
        <v>18</v>
      </c>
      <c r="B34" s="111" t="s">
        <v>360</v>
      </c>
      <c r="C34" s="84">
        <f t="shared" si="1"/>
        <v>25</v>
      </c>
      <c r="D34" s="74"/>
      <c r="E34" s="118">
        <v>25</v>
      </c>
      <c r="F34" s="84">
        <f t="shared" si="2"/>
        <v>5</v>
      </c>
      <c r="G34" s="74"/>
      <c r="H34" s="118">
        <v>5</v>
      </c>
      <c r="I34" s="84">
        <f t="shared" si="3"/>
        <v>25</v>
      </c>
      <c r="J34" s="9"/>
      <c r="K34" s="118">
        <v>25</v>
      </c>
      <c r="L34" s="84">
        <f t="shared" si="4"/>
        <v>5</v>
      </c>
      <c r="M34" s="8"/>
      <c r="N34" s="118">
        <v>5</v>
      </c>
      <c r="O34" s="84">
        <f t="shared" si="5"/>
        <v>0</v>
      </c>
      <c r="P34" s="9"/>
      <c r="Q34" s="702"/>
      <c r="R34" s="84">
        <f t="shared" si="6"/>
        <v>0</v>
      </c>
      <c r="S34" s="8"/>
      <c r="T34" s="702"/>
    </row>
    <row r="35" spans="1:20" s="72" customFormat="1" ht="47.25">
      <c r="A35" s="639">
        <v>19</v>
      </c>
      <c r="B35" s="111" t="s">
        <v>488</v>
      </c>
      <c r="C35" s="84">
        <f t="shared" si="1"/>
        <v>5</v>
      </c>
      <c r="D35" s="74"/>
      <c r="E35" s="116">
        <v>5</v>
      </c>
      <c r="F35" s="84">
        <f t="shared" si="2"/>
        <v>1</v>
      </c>
      <c r="G35" s="74"/>
      <c r="H35" s="116">
        <v>1</v>
      </c>
      <c r="I35" s="84">
        <f t="shared" si="3"/>
        <v>5</v>
      </c>
      <c r="J35" s="9"/>
      <c r="K35" s="116">
        <v>5</v>
      </c>
      <c r="L35" s="84">
        <f t="shared" si="4"/>
        <v>1</v>
      </c>
      <c r="M35" s="8"/>
      <c r="N35" s="116">
        <v>1</v>
      </c>
      <c r="O35" s="84">
        <f t="shared" si="5"/>
        <v>6</v>
      </c>
      <c r="P35" s="9"/>
      <c r="Q35" s="700">
        <v>6</v>
      </c>
      <c r="R35" s="84">
        <f t="shared" si="6"/>
        <v>2</v>
      </c>
      <c r="S35" s="8"/>
      <c r="T35" s="700">
        <v>2</v>
      </c>
    </row>
    <row r="36" spans="1:20" s="72" customFormat="1" ht="15.75">
      <c r="A36" s="639">
        <v>20</v>
      </c>
      <c r="B36" s="114" t="s">
        <v>361</v>
      </c>
      <c r="C36" s="84">
        <f t="shared" si="1"/>
        <v>3</v>
      </c>
      <c r="D36" s="74"/>
      <c r="E36" s="118">
        <v>3</v>
      </c>
      <c r="F36" s="84">
        <f t="shared" si="2"/>
        <v>3</v>
      </c>
      <c r="G36" s="74"/>
      <c r="H36" s="118">
        <v>3</v>
      </c>
      <c r="I36" s="84">
        <f t="shared" si="3"/>
        <v>1</v>
      </c>
      <c r="J36" s="9"/>
      <c r="K36" s="118">
        <v>1</v>
      </c>
      <c r="L36" s="84">
        <f t="shared" si="4"/>
        <v>1</v>
      </c>
      <c r="M36" s="8"/>
      <c r="N36" s="118">
        <v>1</v>
      </c>
      <c r="O36" s="84">
        <f t="shared" si="5"/>
        <v>3</v>
      </c>
      <c r="P36" s="9"/>
      <c r="Q36" s="698">
        <v>3</v>
      </c>
      <c r="R36" s="84">
        <f t="shared" si="6"/>
        <v>3</v>
      </c>
      <c r="S36" s="8"/>
      <c r="T36" s="698">
        <v>3</v>
      </c>
    </row>
    <row r="37" spans="1:20" s="72" customFormat="1" ht="31.5">
      <c r="A37" s="639">
        <v>21</v>
      </c>
      <c r="B37" s="113" t="s">
        <v>489</v>
      </c>
      <c r="C37" s="84">
        <f t="shared" si="1"/>
        <v>0</v>
      </c>
      <c r="D37" s="74"/>
      <c r="E37" s="118">
        <v>0</v>
      </c>
      <c r="F37" s="84">
        <f t="shared" si="2"/>
        <v>0</v>
      </c>
      <c r="G37" s="74"/>
      <c r="H37" s="118">
        <v>0</v>
      </c>
      <c r="I37" s="84">
        <f t="shared" si="3"/>
        <v>1</v>
      </c>
      <c r="J37" s="9"/>
      <c r="K37" s="118">
        <v>1</v>
      </c>
      <c r="L37" s="84">
        <f t="shared" si="4"/>
        <v>1</v>
      </c>
      <c r="M37" s="8"/>
      <c r="N37" s="118">
        <v>1</v>
      </c>
      <c r="O37" s="84">
        <f t="shared" si="5"/>
        <v>1</v>
      </c>
      <c r="P37" s="9"/>
      <c r="Q37" s="699">
        <v>1</v>
      </c>
      <c r="R37" s="84">
        <f t="shared" si="6"/>
        <v>1</v>
      </c>
      <c r="S37" s="8"/>
      <c r="T37" s="699">
        <v>1</v>
      </c>
    </row>
    <row r="38" spans="1:20" s="72" customFormat="1" ht="31.5">
      <c r="A38" s="639">
        <v>22</v>
      </c>
      <c r="B38" s="111" t="s">
        <v>490</v>
      </c>
      <c r="C38" s="84">
        <f t="shared" si="1"/>
        <v>0</v>
      </c>
      <c r="D38" s="74"/>
      <c r="E38" s="118">
        <v>0</v>
      </c>
      <c r="F38" s="84">
        <f t="shared" si="2"/>
        <v>0</v>
      </c>
      <c r="G38" s="74"/>
      <c r="H38" s="118">
        <v>0</v>
      </c>
      <c r="I38" s="84">
        <f t="shared" si="3"/>
        <v>37</v>
      </c>
      <c r="J38" s="9"/>
      <c r="K38" s="118">
        <v>37</v>
      </c>
      <c r="L38" s="84">
        <f t="shared" si="4"/>
        <v>1</v>
      </c>
      <c r="M38" s="8"/>
      <c r="N38" s="118">
        <v>1</v>
      </c>
      <c r="O38" s="84">
        <f t="shared" si="5"/>
        <v>0</v>
      </c>
      <c r="P38" s="9"/>
      <c r="Q38" s="702"/>
      <c r="R38" s="84">
        <f t="shared" si="6"/>
        <v>0</v>
      </c>
      <c r="S38" s="8"/>
      <c r="T38" s="702"/>
    </row>
    <row r="39" spans="1:20" s="72" customFormat="1" ht="47.25">
      <c r="A39" s="639">
        <v>23</v>
      </c>
      <c r="B39" s="111" t="s">
        <v>491</v>
      </c>
      <c r="C39" s="84">
        <f t="shared" si="1"/>
        <v>0</v>
      </c>
      <c r="D39" s="74"/>
      <c r="E39" s="116">
        <v>0</v>
      </c>
      <c r="F39" s="84">
        <f t="shared" si="2"/>
        <v>0</v>
      </c>
      <c r="G39" s="74"/>
      <c r="H39" s="116">
        <v>0</v>
      </c>
      <c r="I39" s="84">
        <f t="shared" si="3"/>
        <v>0</v>
      </c>
      <c r="J39" s="9"/>
      <c r="K39" s="116">
        <v>0</v>
      </c>
      <c r="L39" s="84">
        <f t="shared" si="4"/>
        <v>0</v>
      </c>
      <c r="M39" s="8"/>
      <c r="N39" s="116">
        <v>0</v>
      </c>
      <c r="O39" s="84">
        <f t="shared" si="5"/>
        <v>0</v>
      </c>
      <c r="P39" s="9"/>
      <c r="Q39" s="699">
        <v>0</v>
      </c>
      <c r="R39" s="84">
        <f t="shared" si="6"/>
        <v>0</v>
      </c>
      <c r="S39" s="8"/>
      <c r="T39" s="699">
        <v>0</v>
      </c>
    </row>
    <row r="40" spans="1:20" s="72" customFormat="1" ht="47.25">
      <c r="A40" s="639">
        <v>24</v>
      </c>
      <c r="B40" s="111" t="s">
        <v>492</v>
      </c>
      <c r="C40" s="84">
        <f t="shared" si="1"/>
        <v>0</v>
      </c>
      <c r="D40" s="74"/>
      <c r="E40" s="116">
        <v>0</v>
      </c>
      <c r="F40" s="84">
        <f t="shared" si="2"/>
        <v>0</v>
      </c>
      <c r="G40" s="74"/>
      <c r="H40" s="116">
        <v>0</v>
      </c>
      <c r="I40" s="84">
        <f t="shared" si="3"/>
        <v>0</v>
      </c>
      <c r="J40" s="9"/>
      <c r="K40" s="116">
        <v>0</v>
      </c>
      <c r="L40" s="84">
        <f t="shared" si="4"/>
        <v>0</v>
      </c>
      <c r="M40" s="8"/>
      <c r="N40" s="116">
        <v>0</v>
      </c>
      <c r="O40" s="84">
        <f t="shared" si="5"/>
        <v>0</v>
      </c>
      <c r="P40" s="9"/>
      <c r="Q40" s="699">
        <v>0</v>
      </c>
      <c r="R40" s="84">
        <f t="shared" si="6"/>
        <v>0</v>
      </c>
      <c r="S40" s="8"/>
      <c r="T40" s="699">
        <v>0</v>
      </c>
    </row>
    <row r="41" spans="1:20" s="73" customFormat="1" ht="33.75" customHeight="1">
      <c r="A41" s="850" t="s">
        <v>461</v>
      </c>
      <c r="B41" s="850"/>
      <c r="C41" s="85">
        <f>D41+E41</f>
        <v>343</v>
      </c>
      <c r="D41" s="85">
        <v>44</v>
      </c>
      <c r="E41" s="85">
        <f>SUM(E42:E104)</f>
        <v>299</v>
      </c>
      <c r="F41" s="85">
        <f>G41+H41</f>
        <v>107</v>
      </c>
      <c r="G41" s="85">
        <v>17</v>
      </c>
      <c r="H41" s="85">
        <f>SUM(H42:H104)</f>
        <v>90</v>
      </c>
      <c r="I41" s="85">
        <f>J41+K41</f>
        <v>214</v>
      </c>
      <c r="J41" s="85">
        <v>39</v>
      </c>
      <c r="K41" s="85">
        <f>SUM(K42:K104)</f>
        <v>175</v>
      </c>
      <c r="L41" s="85">
        <f>M41+N41</f>
        <v>60</v>
      </c>
      <c r="M41" s="85">
        <v>13</v>
      </c>
      <c r="N41" s="85">
        <f>SUM(N42:N104)</f>
        <v>47</v>
      </c>
      <c r="O41" s="85">
        <f>P41+Q41</f>
        <v>333</v>
      </c>
      <c r="P41" s="85">
        <v>54</v>
      </c>
      <c r="Q41" s="85">
        <f>SUM(Q42:Q104)</f>
        <v>279</v>
      </c>
      <c r="R41" s="85">
        <f>S41+T41</f>
        <v>110</v>
      </c>
      <c r="S41" s="85">
        <v>23</v>
      </c>
      <c r="T41" s="85">
        <f>SUM(T42:T104)</f>
        <v>87</v>
      </c>
    </row>
    <row r="42" spans="1:20" s="72" customFormat="1" ht="15.75">
      <c r="A42" s="59">
        <v>1</v>
      </c>
      <c r="B42" s="69" t="s">
        <v>449</v>
      </c>
      <c r="C42" s="84">
        <f t="shared" si="1"/>
        <v>7</v>
      </c>
      <c r="D42" s="318"/>
      <c r="E42" s="118">
        <v>7</v>
      </c>
      <c r="F42" s="84">
        <f aca="true" t="shared" si="7" ref="F42:F104">G42+H42</f>
        <v>4</v>
      </c>
      <c r="G42" s="9"/>
      <c r="H42" s="118">
        <v>4</v>
      </c>
      <c r="I42" s="84">
        <f aca="true" t="shared" si="8" ref="I42:I104">J42+K42</f>
        <v>7</v>
      </c>
      <c r="J42" s="9"/>
      <c r="K42" s="704">
        <v>7</v>
      </c>
      <c r="L42" s="84">
        <f aca="true" t="shared" si="9" ref="L42:L104">M42+N42</f>
        <v>4</v>
      </c>
      <c r="M42" s="9"/>
      <c r="N42" s="704">
        <v>4</v>
      </c>
      <c r="O42" s="84">
        <f aca="true" t="shared" si="10" ref="O42:O104">P42+Q42</f>
        <v>12</v>
      </c>
      <c r="P42" s="9"/>
      <c r="Q42" s="698">
        <v>12</v>
      </c>
      <c r="R42" s="84">
        <f aca="true" t="shared" si="11" ref="R42:R104">S42+T42</f>
        <v>4</v>
      </c>
      <c r="S42" s="9"/>
      <c r="T42" s="699">
        <v>4</v>
      </c>
    </row>
    <row r="43" spans="1:20" s="72" customFormat="1" ht="31.5">
      <c r="A43" s="59">
        <v>2</v>
      </c>
      <c r="B43" s="69" t="s">
        <v>450</v>
      </c>
      <c r="C43" s="84">
        <f t="shared" si="1"/>
        <v>10</v>
      </c>
      <c r="D43" s="318"/>
      <c r="E43" s="118">
        <v>10</v>
      </c>
      <c r="F43" s="84">
        <f t="shared" si="7"/>
        <v>1</v>
      </c>
      <c r="G43" s="9"/>
      <c r="H43" s="118">
        <v>1</v>
      </c>
      <c r="I43" s="84">
        <f t="shared" si="8"/>
        <v>10</v>
      </c>
      <c r="J43" s="9"/>
      <c r="K43" s="704">
        <v>10</v>
      </c>
      <c r="L43" s="84">
        <f t="shared" si="9"/>
        <v>1</v>
      </c>
      <c r="M43" s="9"/>
      <c r="N43" s="704">
        <v>1</v>
      </c>
      <c r="O43" s="84">
        <f t="shared" si="10"/>
        <v>10</v>
      </c>
      <c r="P43" s="9"/>
      <c r="Q43" s="698">
        <v>10</v>
      </c>
      <c r="R43" s="84">
        <f t="shared" si="11"/>
        <v>1</v>
      </c>
      <c r="S43" s="9"/>
      <c r="T43" s="699">
        <v>1</v>
      </c>
    </row>
    <row r="44" spans="1:20" s="72" customFormat="1" ht="15.75">
      <c r="A44" s="59">
        <v>3</v>
      </c>
      <c r="B44" s="69" t="s">
        <v>451</v>
      </c>
      <c r="C44" s="84">
        <f t="shared" si="1"/>
        <v>18</v>
      </c>
      <c r="D44" s="318"/>
      <c r="E44" s="118">
        <v>18</v>
      </c>
      <c r="F44" s="84">
        <f t="shared" si="7"/>
        <v>7</v>
      </c>
      <c r="G44" s="9"/>
      <c r="H44" s="118">
        <v>7</v>
      </c>
      <c r="I44" s="84">
        <f t="shared" si="8"/>
        <v>9</v>
      </c>
      <c r="J44" s="9"/>
      <c r="K44" s="704">
        <v>9</v>
      </c>
      <c r="L44" s="84">
        <f t="shared" si="9"/>
        <v>4</v>
      </c>
      <c r="M44" s="9"/>
      <c r="N44" s="704">
        <v>4</v>
      </c>
      <c r="O44" s="84">
        <f t="shared" si="10"/>
        <v>18</v>
      </c>
      <c r="P44" s="9"/>
      <c r="Q44" s="698">
        <v>18</v>
      </c>
      <c r="R44" s="84">
        <f t="shared" si="11"/>
        <v>7</v>
      </c>
      <c r="S44" s="9"/>
      <c r="T44" s="699">
        <v>7</v>
      </c>
    </row>
    <row r="45" spans="1:20" s="72" customFormat="1" ht="15.75">
      <c r="A45" s="59">
        <v>4</v>
      </c>
      <c r="B45" s="69" t="s">
        <v>452</v>
      </c>
      <c r="C45" s="84">
        <f t="shared" si="1"/>
        <v>1</v>
      </c>
      <c r="D45" s="318"/>
      <c r="E45" s="118">
        <v>1</v>
      </c>
      <c r="F45" s="84">
        <f t="shared" si="7"/>
        <v>1</v>
      </c>
      <c r="G45" s="9"/>
      <c r="H45" s="118">
        <v>1</v>
      </c>
      <c r="I45" s="84">
        <f t="shared" si="8"/>
        <v>1</v>
      </c>
      <c r="J45" s="9"/>
      <c r="K45" s="704">
        <v>1</v>
      </c>
      <c r="L45" s="84">
        <f t="shared" si="9"/>
        <v>1</v>
      </c>
      <c r="M45" s="9"/>
      <c r="N45" s="704">
        <v>1</v>
      </c>
      <c r="O45" s="84">
        <f t="shared" si="10"/>
        <v>1</v>
      </c>
      <c r="P45" s="9"/>
      <c r="Q45" s="698">
        <v>1</v>
      </c>
      <c r="R45" s="84">
        <f t="shared" si="11"/>
        <v>1</v>
      </c>
      <c r="S45" s="9"/>
      <c r="T45" s="699">
        <v>1</v>
      </c>
    </row>
    <row r="46" spans="1:20" s="72" customFormat="1" ht="15.75">
      <c r="A46" s="59">
        <v>5</v>
      </c>
      <c r="B46" s="69" t="s">
        <v>453</v>
      </c>
      <c r="C46" s="84">
        <f t="shared" si="1"/>
        <v>1</v>
      </c>
      <c r="D46" s="318"/>
      <c r="E46" s="118">
        <v>1</v>
      </c>
      <c r="F46" s="84">
        <f t="shared" si="7"/>
        <v>1</v>
      </c>
      <c r="G46" s="9"/>
      <c r="H46" s="118">
        <v>1</v>
      </c>
      <c r="I46" s="84">
        <f t="shared" si="8"/>
        <v>0</v>
      </c>
      <c r="J46" s="9"/>
      <c r="K46" s="704">
        <v>0</v>
      </c>
      <c r="L46" s="84">
        <f t="shared" si="9"/>
        <v>0</v>
      </c>
      <c r="M46" s="9"/>
      <c r="N46" s="704">
        <v>0</v>
      </c>
      <c r="O46" s="84">
        <f t="shared" si="10"/>
        <v>0</v>
      </c>
      <c r="P46" s="9"/>
      <c r="Q46" s="698">
        <v>0</v>
      </c>
      <c r="R46" s="84">
        <f t="shared" si="11"/>
        <v>0</v>
      </c>
      <c r="S46" s="9"/>
      <c r="T46" s="699">
        <v>0</v>
      </c>
    </row>
    <row r="47" spans="1:20" s="72" customFormat="1" ht="15.75">
      <c r="A47" s="59">
        <v>6</v>
      </c>
      <c r="B47" s="69" t="s">
        <v>454</v>
      </c>
      <c r="C47" s="84">
        <f t="shared" si="1"/>
        <v>0</v>
      </c>
      <c r="D47" s="318"/>
      <c r="E47" s="705">
        <v>0</v>
      </c>
      <c r="F47" s="84">
        <f t="shared" si="7"/>
        <v>0</v>
      </c>
      <c r="G47" s="9"/>
      <c r="H47" s="705">
        <v>0</v>
      </c>
      <c r="I47" s="84">
        <f t="shared" si="8"/>
        <v>0</v>
      </c>
      <c r="J47" s="9"/>
      <c r="K47" s="704">
        <v>0</v>
      </c>
      <c r="L47" s="84">
        <f t="shared" si="9"/>
        <v>0</v>
      </c>
      <c r="M47" s="9"/>
      <c r="N47" s="704">
        <v>0</v>
      </c>
      <c r="O47" s="84">
        <f t="shared" si="10"/>
        <v>0</v>
      </c>
      <c r="P47" s="9"/>
      <c r="Q47" s="698">
        <v>0</v>
      </c>
      <c r="R47" s="84">
        <f t="shared" si="11"/>
        <v>0</v>
      </c>
      <c r="S47" s="9"/>
      <c r="T47" s="699">
        <v>0</v>
      </c>
    </row>
    <row r="48" spans="1:20" s="72" customFormat="1" ht="15.75">
      <c r="A48" s="59">
        <v>7</v>
      </c>
      <c r="B48" s="69" t="s">
        <v>455</v>
      </c>
      <c r="C48" s="84">
        <f t="shared" si="1"/>
        <v>7</v>
      </c>
      <c r="D48" s="318"/>
      <c r="E48" s="118">
        <v>7</v>
      </c>
      <c r="F48" s="84">
        <f t="shared" si="7"/>
        <v>2</v>
      </c>
      <c r="G48" s="9"/>
      <c r="H48" s="118">
        <v>2</v>
      </c>
      <c r="I48" s="84">
        <f t="shared" si="8"/>
        <v>0</v>
      </c>
      <c r="J48" s="9"/>
      <c r="K48" s="704">
        <v>0</v>
      </c>
      <c r="L48" s="84">
        <f t="shared" si="9"/>
        <v>0</v>
      </c>
      <c r="M48" s="9"/>
      <c r="N48" s="704">
        <v>0</v>
      </c>
      <c r="O48" s="84">
        <f t="shared" si="10"/>
        <v>8</v>
      </c>
      <c r="P48" s="9"/>
      <c r="Q48" s="698">
        <v>8</v>
      </c>
      <c r="R48" s="84">
        <f t="shared" si="11"/>
        <v>2</v>
      </c>
      <c r="S48" s="9"/>
      <c r="T48" s="699">
        <v>2</v>
      </c>
    </row>
    <row r="49" spans="1:20" s="72" customFormat="1" ht="15.75">
      <c r="A49" s="59">
        <v>8</v>
      </c>
      <c r="B49" s="69" t="s">
        <v>456</v>
      </c>
      <c r="C49" s="84">
        <f t="shared" si="1"/>
        <v>1</v>
      </c>
      <c r="D49" s="318"/>
      <c r="E49" s="118">
        <v>1</v>
      </c>
      <c r="F49" s="84">
        <f t="shared" si="7"/>
        <v>1</v>
      </c>
      <c r="G49" s="9"/>
      <c r="H49" s="118">
        <v>1</v>
      </c>
      <c r="I49" s="84">
        <f t="shared" si="8"/>
        <v>1</v>
      </c>
      <c r="J49" s="9"/>
      <c r="K49" s="704">
        <v>1</v>
      </c>
      <c r="L49" s="84">
        <f t="shared" si="9"/>
        <v>1</v>
      </c>
      <c r="M49" s="9"/>
      <c r="N49" s="704">
        <v>1</v>
      </c>
      <c r="O49" s="84">
        <f t="shared" si="10"/>
        <v>1</v>
      </c>
      <c r="P49" s="9"/>
      <c r="Q49" s="698">
        <v>1</v>
      </c>
      <c r="R49" s="84">
        <f t="shared" si="11"/>
        <v>1</v>
      </c>
      <c r="S49" s="9"/>
      <c r="T49" s="699">
        <v>1</v>
      </c>
    </row>
    <row r="50" spans="1:20" s="72" customFormat="1" ht="15.75">
      <c r="A50" s="59">
        <v>9</v>
      </c>
      <c r="B50" s="69" t="s">
        <v>457</v>
      </c>
      <c r="C50" s="84">
        <f t="shared" si="1"/>
        <v>2</v>
      </c>
      <c r="D50" s="318"/>
      <c r="E50" s="118">
        <v>2</v>
      </c>
      <c r="F50" s="84">
        <f t="shared" si="7"/>
        <v>2</v>
      </c>
      <c r="G50" s="9"/>
      <c r="H50" s="118">
        <v>2</v>
      </c>
      <c r="I50" s="84">
        <f t="shared" si="8"/>
        <v>2</v>
      </c>
      <c r="J50" s="9"/>
      <c r="K50" s="704">
        <v>2</v>
      </c>
      <c r="L50" s="84">
        <f t="shared" si="9"/>
        <v>2</v>
      </c>
      <c r="M50" s="9"/>
      <c r="N50" s="704">
        <v>2</v>
      </c>
      <c r="O50" s="84">
        <f t="shared" si="10"/>
        <v>2</v>
      </c>
      <c r="P50" s="9"/>
      <c r="Q50" s="698">
        <v>2</v>
      </c>
      <c r="R50" s="84">
        <f t="shared" si="11"/>
        <v>2</v>
      </c>
      <c r="S50" s="9"/>
      <c r="T50" s="699">
        <v>2</v>
      </c>
    </row>
    <row r="51" spans="1:20" s="72" customFormat="1" ht="15.75">
      <c r="A51" s="59">
        <v>10</v>
      </c>
      <c r="B51" s="69" t="s">
        <v>362</v>
      </c>
      <c r="C51" s="84">
        <f t="shared" si="1"/>
        <v>5</v>
      </c>
      <c r="D51" s="318"/>
      <c r="E51" s="116">
        <v>5</v>
      </c>
      <c r="F51" s="84">
        <f t="shared" si="7"/>
        <v>2</v>
      </c>
      <c r="G51" s="9"/>
      <c r="H51" s="116">
        <v>2</v>
      </c>
      <c r="I51" s="84">
        <f t="shared" si="8"/>
        <v>0</v>
      </c>
      <c r="J51" s="9"/>
      <c r="K51" s="704">
        <v>0</v>
      </c>
      <c r="L51" s="84">
        <f t="shared" si="9"/>
        <v>0</v>
      </c>
      <c r="M51" s="9"/>
      <c r="N51" s="704">
        <v>0</v>
      </c>
      <c r="O51" s="84">
        <f t="shared" si="10"/>
        <v>5</v>
      </c>
      <c r="P51" s="9"/>
      <c r="Q51" s="698">
        <v>5</v>
      </c>
      <c r="R51" s="84">
        <f t="shared" si="11"/>
        <v>2</v>
      </c>
      <c r="S51" s="9"/>
      <c r="T51" s="699">
        <v>2</v>
      </c>
    </row>
    <row r="52" spans="1:20" s="72" customFormat="1" ht="15.75">
      <c r="A52" s="59">
        <v>11</v>
      </c>
      <c r="B52" s="69" t="s">
        <v>363</v>
      </c>
      <c r="C52" s="84">
        <f t="shared" si="1"/>
        <v>3</v>
      </c>
      <c r="D52" s="318"/>
      <c r="E52" s="116">
        <v>3</v>
      </c>
      <c r="F52" s="84">
        <f t="shared" si="7"/>
        <v>3</v>
      </c>
      <c r="G52" s="9"/>
      <c r="H52" s="116">
        <v>3</v>
      </c>
      <c r="I52" s="84">
        <f t="shared" si="8"/>
        <v>0</v>
      </c>
      <c r="J52" s="9"/>
      <c r="K52" s="704">
        <v>0</v>
      </c>
      <c r="L52" s="84">
        <f t="shared" si="9"/>
        <v>0</v>
      </c>
      <c r="M52" s="9"/>
      <c r="N52" s="704">
        <v>0</v>
      </c>
      <c r="O52" s="84">
        <f t="shared" si="10"/>
        <v>0</v>
      </c>
      <c r="P52" s="9"/>
      <c r="Q52" s="698">
        <v>0</v>
      </c>
      <c r="R52" s="84">
        <f t="shared" si="11"/>
        <v>0</v>
      </c>
      <c r="S52" s="9"/>
      <c r="T52" s="699">
        <v>0</v>
      </c>
    </row>
    <row r="53" spans="1:20" s="72" customFormat="1" ht="15.75">
      <c r="A53" s="59">
        <v>12</v>
      </c>
      <c r="B53" s="69" t="s">
        <v>364</v>
      </c>
      <c r="C53" s="84">
        <f t="shared" si="1"/>
        <v>1</v>
      </c>
      <c r="D53" s="318"/>
      <c r="E53" s="118">
        <v>1</v>
      </c>
      <c r="F53" s="84">
        <f t="shared" si="7"/>
        <v>1</v>
      </c>
      <c r="G53" s="9"/>
      <c r="H53" s="118">
        <v>1</v>
      </c>
      <c r="I53" s="84">
        <f t="shared" si="8"/>
        <v>0</v>
      </c>
      <c r="J53" s="9"/>
      <c r="K53" s="704">
        <v>0</v>
      </c>
      <c r="L53" s="84">
        <f t="shared" si="9"/>
        <v>0</v>
      </c>
      <c r="M53" s="9"/>
      <c r="N53" s="704">
        <v>0</v>
      </c>
      <c r="O53" s="84">
        <f t="shared" si="10"/>
        <v>2</v>
      </c>
      <c r="P53" s="9"/>
      <c r="Q53" s="698">
        <v>2</v>
      </c>
      <c r="R53" s="84">
        <f t="shared" si="11"/>
        <v>2</v>
      </c>
      <c r="S53" s="9"/>
      <c r="T53" s="699">
        <v>2</v>
      </c>
    </row>
    <row r="54" spans="1:20" s="72" customFormat="1" ht="15.75">
      <c r="A54" s="59">
        <v>13</v>
      </c>
      <c r="B54" s="69" t="s">
        <v>365</v>
      </c>
      <c r="C54" s="84">
        <f t="shared" si="1"/>
        <v>0</v>
      </c>
      <c r="D54" s="9"/>
      <c r="E54" s="118">
        <v>0</v>
      </c>
      <c r="F54" s="84">
        <f t="shared" si="7"/>
        <v>0</v>
      </c>
      <c r="G54" s="9"/>
      <c r="H54" s="118">
        <v>0</v>
      </c>
      <c r="I54" s="84">
        <f t="shared" si="8"/>
        <v>0</v>
      </c>
      <c r="J54" s="9"/>
      <c r="K54" s="704">
        <v>0</v>
      </c>
      <c r="L54" s="84">
        <f t="shared" si="9"/>
        <v>0</v>
      </c>
      <c r="M54" s="9"/>
      <c r="N54" s="704">
        <v>0</v>
      </c>
      <c r="O54" s="84">
        <f t="shared" si="10"/>
        <v>0</v>
      </c>
      <c r="P54" s="9"/>
      <c r="Q54" s="698">
        <v>0</v>
      </c>
      <c r="R54" s="84">
        <f t="shared" si="11"/>
        <v>0</v>
      </c>
      <c r="S54" s="9"/>
      <c r="T54" s="699">
        <v>0</v>
      </c>
    </row>
    <row r="55" spans="1:20" s="72" customFormat="1" ht="15.75">
      <c r="A55" s="59">
        <v>14</v>
      </c>
      <c r="B55" s="69" t="s">
        <v>366</v>
      </c>
      <c r="C55" s="84">
        <f t="shared" si="1"/>
        <v>37</v>
      </c>
      <c r="D55" s="318"/>
      <c r="E55" s="116">
        <v>37</v>
      </c>
      <c r="F55" s="84">
        <f t="shared" si="7"/>
        <v>1</v>
      </c>
      <c r="G55" s="9"/>
      <c r="H55" s="116">
        <v>1</v>
      </c>
      <c r="I55" s="84">
        <f t="shared" si="8"/>
        <v>37</v>
      </c>
      <c r="J55" s="9"/>
      <c r="K55" s="704">
        <v>37</v>
      </c>
      <c r="L55" s="84">
        <f t="shared" si="9"/>
        <v>1</v>
      </c>
      <c r="M55" s="9"/>
      <c r="N55" s="704">
        <v>1</v>
      </c>
      <c r="O55" s="84">
        <f t="shared" si="10"/>
        <v>39</v>
      </c>
      <c r="P55" s="9"/>
      <c r="Q55" s="698">
        <v>39</v>
      </c>
      <c r="R55" s="84">
        <f t="shared" si="11"/>
        <v>2</v>
      </c>
      <c r="S55" s="9"/>
      <c r="T55" s="699">
        <v>2</v>
      </c>
    </row>
    <row r="56" spans="1:20" s="72" customFormat="1" ht="15.75">
      <c r="A56" s="59">
        <v>15</v>
      </c>
      <c r="B56" s="69" t="s">
        <v>367</v>
      </c>
      <c r="C56" s="84">
        <f t="shared" si="1"/>
        <v>12</v>
      </c>
      <c r="D56" s="318"/>
      <c r="E56" s="706">
        <v>12</v>
      </c>
      <c r="F56" s="84">
        <f t="shared" si="7"/>
        <v>2</v>
      </c>
      <c r="G56" s="9"/>
      <c r="H56" s="706">
        <v>2</v>
      </c>
      <c r="I56" s="84">
        <f t="shared" si="8"/>
        <v>0</v>
      </c>
      <c r="J56" s="9"/>
      <c r="K56" s="704">
        <v>0</v>
      </c>
      <c r="L56" s="84">
        <f t="shared" si="9"/>
        <v>0</v>
      </c>
      <c r="M56" s="9"/>
      <c r="N56" s="704">
        <v>0</v>
      </c>
      <c r="O56" s="84">
        <f t="shared" si="10"/>
        <v>12</v>
      </c>
      <c r="P56" s="9"/>
      <c r="Q56" s="698">
        <v>12</v>
      </c>
      <c r="R56" s="84">
        <f t="shared" si="11"/>
        <v>4</v>
      </c>
      <c r="S56" s="9"/>
      <c r="T56" s="699">
        <v>4</v>
      </c>
    </row>
    <row r="57" spans="1:20" s="72" customFormat="1" ht="15.75">
      <c r="A57" s="59">
        <v>16</v>
      </c>
      <c r="B57" s="69" t="s">
        <v>368</v>
      </c>
      <c r="C57" s="84">
        <f t="shared" si="1"/>
        <v>18</v>
      </c>
      <c r="D57" s="318"/>
      <c r="E57" s="118">
        <v>18</v>
      </c>
      <c r="F57" s="84">
        <f t="shared" si="7"/>
        <v>1</v>
      </c>
      <c r="G57" s="9"/>
      <c r="H57" s="118">
        <v>1</v>
      </c>
      <c r="I57" s="84">
        <f t="shared" si="8"/>
        <v>0</v>
      </c>
      <c r="J57" s="9"/>
      <c r="K57" s="704">
        <v>0</v>
      </c>
      <c r="L57" s="84">
        <f t="shared" si="9"/>
        <v>0</v>
      </c>
      <c r="M57" s="9"/>
      <c r="N57" s="704">
        <v>0</v>
      </c>
      <c r="O57" s="84">
        <f t="shared" si="10"/>
        <v>18</v>
      </c>
      <c r="P57" s="9"/>
      <c r="Q57" s="698">
        <v>18</v>
      </c>
      <c r="R57" s="84">
        <f t="shared" si="11"/>
        <v>1</v>
      </c>
      <c r="S57" s="9"/>
      <c r="T57" s="699">
        <v>1</v>
      </c>
    </row>
    <row r="58" spans="1:20" s="72" customFormat="1" ht="15.75">
      <c r="A58" s="59">
        <v>17</v>
      </c>
      <c r="B58" s="69" t="s">
        <v>369</v>
      </c>
      <c r="C58" s="84">
        <f t="shared" si="1"/>
        <v>10</v>
      </c>
      <c r="D58" s="318"/>
      <c r="E58" s="118">
        <v>10</v>
      </c>
      <c r="F58" s="84">
        <f t="shared" si="7"/>
        <v>2</v>
      </c>
      <c r="G58" s="9"/>
      <c r="H58" s="118">
        <v>2</v>
      </c>
      <c r="I58" s="84">
        <f t="shared" si="8"/>
        <v>0</v>
      </c>
      <c r="J58" s="9"/>
      <c r="K58" s="704">
        <v>0</v>
      </c>
      <c r="L58" s="84">
        <f t="shared" si="9"/>
        <v>0</v>
      </c>
      <c r="M58" s="9"/>
      <c r="N58" s="704">
        <v>0</v>
      </c>
      <c r="O58" s="84">
        <f t="shared" si="10"/>
        <v>10</v>
      </c>
      <c r="P58" s="9"/>
      <c r="Q58" s="698">
        <v>10</v>
      </c>
      <c r="R58" s="84">
        <f t="shared" si="11"/>
        <v>2</v>
      </c>
      <c r="S58" s="9"/>
      <c r="T58" s="699">
        <v>2</v>
      </c>
    </row>
    <row r="59" spans="1:20" s="72" customFormat="1" ht="15.75">
      <c r="A59" s="59">
        <v>18</v>
      </c>
      <c r="B59" s="69" t="s">
        <v>370</v>
      </c>
      <c r="C59" s="84">
        <f t="shared" si="1"/>
        <v>0</v>
      </c>
      <c r="D59" s="318"/>
      <c r="E59" s="118">
        <v>0</v>
      </c>
      <c r="F59" s="84">
        <f t="shared" si="7"/>
        <v>0</v>
      </c>
      <c r="G59" s="9"/>
      <c r="H59" s="118">
        <v>0</v>
      </c>
      <c r="I59" s="84">
        <f t="shared" si="8"/>
        <v>0</v>
      </c>
      <c r="J59" s="9"/>
      <c r="K59" s="704">
        <v>0</v>
      </c>
      <c r="L59" s="84">
        <f t="shared" si="9"/>
        <v>0</v>
      </c>
      <c r="M59" s="9"/>
      <c r="N59" s="704">
        <v>0</v>
      </c>
      <c r="O59" s="84">
        <f t="shared" si="10"/>
        <v>9</v>
      </c>
      <c r="P59" s="9"/>
      <c r="Q59" s="698">
        <v>9</v>
      </c>
      <c r="R59" s="84">
        <f t="shared" si="11"/>
        <v>1</v>
      </c>
      <c r="S59" s="9"/>
      <c r="T59" s="699">
        <v>1</v>
      </c>
    </row>
    <row r="60" spans="1:20" s="72" customFormat="1" ht="15.75">
      <c r="A60" s="59">
        <v>19</v>
      </c>
      <c r="B60" s="70" t="s">
        <v>371</v>
      </c>
      <c r="C60" s="84">
        <f t="shared" si="1"/>
        <v>0</v>
      </c>
      <c r="D60" s="74"/>
      <c r="E60" s="116">
        <v>0</v>
      </c>
      <c r="F60" s="84">
        <f t="shared" si="7"/>
        <v>0</v>
      </c>
      <c r="G60" s="74"/>
      <c r="H60" s="116">
        <v>0</v>
      </c>
      <c r="I60" s="84">
        <f t="shared" si="8"/>
        <v>0</v>
      </c>
      <c r="J60" s="74"/>
      <c r="K60" s="704">
        <v>0</v>
      </c>
      <c r="L60" s="84">
        <f t="shared" si="9"/>
        <v>0</v>
      </c>
      <c r="M60" s="74"/>
      <c r="N60" s="704">
        <v>0</v>
      </c>
      <c r="O60" s="84">
        <f t="shared" si="10"/>
        <v>0</v>
      </c>
      <c r="P60" s="74"/>
      <c r="Q60" s="698">
        <v>0</v>
      </c>
      <c r="R60" s="84">
        <f t="shared" si="11"/>
        <v>0</v>
      </c>
      <c r="S60" s="74"/>
      <c r="T60" s="699">
        <v>0</v>
      </c>
    </row>
    <row r="61" spans="1:20" s="72" customFormat="1" ht="15.75">
      <c r="A61" s="59">
        <v>20</v>
      </c>
      <c r="B61" s="70" t="s">
        <v>372</v>
      </c>
      <c r="C61" s="84">
        <f t="shared" si="1"/>
        <v>0</v>
      </c>
      <c r="D61" s="74"/>
      <c r="E61" s="116">
        <v>0</v>
      </c>
      <c r="F61" s="84">
        <f t="shared" si="7"/>
        <v>0</v>
      </c>
      <c r="G61" s="10"/>
      <c r="H61" s="116">
        <v>0</v>
      </c>
      <c r="I61" s="84">
        <f t="shared" si="8"/>
        <v>0</v>
      </c>
      <c r="J61" s="10"/>
      <c r="K61" s="704">
        <v>0</v>
      </c>
      <c r="L61" s="84">
        <f t="shared" si="9"/>
        <v>0</v>
      </c>
      <c r="M61" s="10"/>
      <c r="N61" s="704">
        <v>0</v>
      </c>
      <c r="O61" s="84">
        <f t="shared" si="10"/>
        <v>0</v>
      </c>
      <c r="P61" s="10"/>
      <c r="Q61" s="698">
        <v>0</v>
      </c>
      <c r="R61" s="84">
        <f t="shared" si="11"/>
        <v>0</v>
      </c>
      <c r="S61" s="10"/>
      <c r="T61" s="699">
        <v>0</v>
      </c>
    </row>
    <row r="62" spans="1:20" s="72" customFormat="1" ht="15.75">
      <c r="A62" s="59">
        <v>21</v>
      </c>
      <c r="B62" s="70" t="s">
        <v>373</v>
      </c>
      <c r="C62" s="84">
        <f t="shared" si="1"/>
        <v>0</v>
      </c>
      <c r="D62" s="74"/>
      <c r="E62" s="118">
        <v>0</v>
      </c>
      <c r="F62" s="84">
        <f t="shared" si="7"/>
        <v>0</v>
      </c>
      <c r="G62" s="10"/>
      <c r="H62" s="118">
        <v>0</v>
      </c>
      <c r="I62" s="84">
        <f t="shared" si="8"/>
        <v>0</v>
      </c>
      <c r="J62" s="10"/>
      <c r="K62" s="704">
        <v>0</v>
      </c>
      <c r="L62" s="84">
        <f t="shared" si="9"/>
        <v>0</v>
      </c>
      <c r="M62" s="10"/>
      <c r="N62" s="704">
        <v>0</v>
      </c>
      <c r="O62" s="84">
        <f t="shared" si="10"/>
        <v>0</v>
      </c>
      <c r="P62" s="10"/>
      <c r="Q62" s="698">
        <v>0</v>
      </c>
      <c r="R62" s="84">
        <f t="shared" si="11"/>
        <v>0</v>
      </c>
      <c r="S62" s="10"/>
      <c r="T62" s="699">
        <v>0</v>
      </c>
    </row>
    <row r="63" spans="1:20" s="72" customFormat="1" ht="15.75">
      <c r="A63" s="59">
        <v>22</v>
      </c>
      <c r="B63" s="70" t="s">
        <v>374</v>
      </c>
      <c r="C63" s="84">
        <f t="shared" si="1"/>
        <v>0</v>
      </c>
      <c r="D63" s="74"/>
      <c r="E63" s="116">
        <v>0</v>
      </c>
      <c r="F63" s="84">
        <f t="shared" si="7"/>
        <v>0</v>
      </c>
      <c r="G63" s="10"/>
      <c r="H63" s="116">
        <v>0</v>
      </c>
      <c r="I63" s="84">
        <f t="shared" si="8"/>
        <v>0</v>
      </c>
      <c r="J63" s="10"/>
      <c r="K63" s="704">
        <v>0</v>
      </c>
      <c r="L63" s="84">
        <f t="shared" si="9"/>
        <v>0</v>
      </c>
      <c r="M63" s="10"/>
      <c r="N63" s="704">
        <v>0</v>
      </c>
      <c r="O63" s="84">
        <f t="shared" si="10"/>
        <v>0</v>
      </c>
      <c r="P63" s="10"/>
      <c r="Q63" s="698">
        <v>0</v>
      </c>
      <c r="R63" s="84">
        <f t="shared" si="11"/>
        <v>0</v>
      </c>
      <c r="S63" s="10"/>
      <c r="T63" s="699">
        <v>0</v>
      </c>
    </row>
    <row r="64" spans="1:20" s="72" customFormat="1" ht="15.75">
      <c r="A64" s="59">
        <v>23</v>
      </c>
      <c r="B64" s="70" t="s">
        <v>375</v>
      </c>
      <c r="C64" s="84">
        <f t="shared" si="1"/>
        <v>0</v>
      </c>
      <c r="D64" s="74"/>
      <c r="E64" s="116">
        <v>0</v>
      </c>
      <c r="F64" s="84">
        <f t="shared" si="7"/>
        <v>0</v>
      </c>
      <c r="G64" s="10"/>
      <c r="H64" s="116">
        <v>0</v>
      </c>
      <c r="I64" s="84">
        <f t="shared" si="8"/>
        <v>0</v>
      </c>
      <c r="J64" s="10"/>
      <c r="K64" s="704"/>
      <c r="L64" s="84">
        <f t="shared" si="9"/>
        <v>0</v>
      </c>
      <c r="M64" s="10"/>
      <c r="N64" s="704"/>
      <c r="O64" s="84">
        <f t="shared" si="10"/>
        <v>0</v>
      </c>
      <c r="P64" s="10"/>
      <c r="Q64" s="698"/>
      <c r="R64" s="84">
        <f t="shared" si="11"/>
        <v>0</v>
      </c>
      <c r="S64" s="10"/>
      <c r="T64" s="699"/>
    </row>
    <row r="65" spans="1:20" s="72" customFormat="1" ht="15.75">
      <c r="A65" s="59">
        <v>24</v>
      </c>
      <c r="B65" s="70" t="s">
        <v>376</v>
      </c>
      <c r="C65" s="84">
        <f t="shared" si="1"/>
        <v>4</v>
      </c>
      <c r="D65" s="74"/>
      <c r="E65" s="118">
        <v>4</v>
      </c>
      <c r="F65" s="84">
        <f t="shared" si="7"/>
        <v>1</v>
      </c>
      <c r="G65" s="10"/>
      <c r="H65" s="118">
        <v>1</v>
      </c>
      <c r="I65" s="84">
        <f t="shared" si="8"/>
        <v>0</v>
      </c>
      <c r="J65" s="10"/>
      <c r="K65" s="704">
        <v>0</v>
      </c>
      <c r="L65" s="84">
        <f t="shared" si="9"/>
        <v>0</v>
      </c>
      <c r="M65" s="10"/>
      <c r="N65" s="704">
        <v>0</v>
      </c>
      <c r="O65" s="84">
        <f t="shared" si="10"/>
        <v>0</v>
      </c>
      <c r="P65" s="10"/>
      <c r="Q65" s="698"/>
      <c r="R65" s="84">
        <f t="shared" si="11"/>
        <v>3</v>
      </c>
      <c r="S65" s="10"/>
      <c r="T65" s="699">
        <v>3</v>
      </c>
    </row>
    <row r="66" spans="1:20" s="72" customFormat="1" ht="15.75">
      <c r="A66" s="59">
        <v>25</v>
      </c>
      <c r="B66" s="70" t="s">
        <v>377</v>
      </c>
      <c r="C66" s="84">
        <f t="shared" si="1"/>
        <v>9</v>
      </c>
      <c r="D66" s="74"/>
      <c r="E66" s="705">
        <v>9</v>
      </c>
      <c r="F66" s="84">
        <f t="shared" si="7"/>
        <v>2</v>
      </c>
      <c r="G66" s="74"/>
      <c r="H66" s="705">
        <v>2</v>
      </c>
      <c r="I66" s="84">
        <f t="shared" si="8"/>
        <v>0</v>
      </c>
      <c r="J66" s="10"/>
      <c r="K66" s="704">
        <v>0</v>
      </c>
      <c r="L66" s="84">
        <f t="shared" si="9"/>
        <v>0</v>
      </c>
      <c r="M66" s="10"/>
      <c r="N66" s="704">
        <v>0</v>
      </c>
      <c r="O66" s="84">
        <f t="shared" si="10"/>
        <v>9</v>
      </c>
      <c r="P66" s="10"/>
      <c r="Q66" s="698">
        <v>9</v>
      </c>
      <c r="R66" s="84">
        <f t="shared" si="11"/>
        <v>2</v>
      </c>
      <c r="S66" s="10"/>
      <c r="T66" s="699">
        <v>2</v>
      </c>
    </row>
    <row r="67" spans="1:20" s="72" customFormat="1" ht="15.75">
      <c r="A67" s="59">
        <v>26</v>
      </c>
      <c r="B67" s="70" t="s">
        <v>378</v>
      </c>
      <c r="C67" s="84">
        <f t="shared" si="1"/>
        <v>21</v>
      </c>
      <c r="D67" s="74"/>
      <c r="E67" s="118">
        <v>21</v>
      </c>
      <c r="F67" s="84">
        <f t="shared" si="7"/>
        <v>1</v>
      </c>
      <c r="G67" s="74"/>
      <c r="H67" s="118">
        <v>1</v>
      </c>
      <c r="I67" s="84">
        <f t="shared" si="8"/>
        <v>0</v>
      </c>
      <c r="J67" s="10"/>
      <c r="K67" s="704">
        <v>0</v>
      </c>
      <c r="L67" s="84">
        <f t="shared" si="9"/>
        <v>0</v>
      </c>
      <c r="M67" s="10"/>
      <c r="N67" s="704">
        <v>0</v>
      </c>
      <c r="O67" s="84">
        <f t="shared" si="10"/>
        <v>0</v>
      </c>
      <c r="P67" s="74"/>
      <c r="Q67" s="698"/>
      <c r="R67" s="84">
        <f t="shared" si="11"/>
        <v>0</v>
      </c>
      <c r="S67" s="10"/>
      <c r="T67" s="699"/>
    </row>
    <row r="68" spans="1:20" s="72" customFormat="1" ht="15.75">
      <c r="A68" s="59">
        <v>27</v>
      </c>
      <c r="B68" s="70" t="s">
        <v>379</v>
      </c>
      <c r="C68" s="84">
        <f t="shared" si="1"/>
        <v>1</v>
      </c>
      <c r="D68" s="74"/>
      <c r="E68" s="118">
        <v>1</v>
      </c>
      <c r="F68" s="84">
        <f t="shared" si="7"/>
        <v>1</v>
      </c>
      <c r="G68" s="10"/>
      <c r="H68" s="118">
        <v>1</v>
      </c>
      <c r="I68" s="84">
        <f t="shared" si="8"/>
        <v>0</v>
      </c>
      <c r="J68" s="10"/>
      <c r="K68" s="704">
        <v>0</v>
      </c>
      <c r="L68" s="84">
        <f t="shared" si="9"/>
        <v>0</v>
      </c>
      <c r="M68" s="10"/>
      <c r="N68" s="704">
        <v>0</v>
      </c>
      <c r="O68" s="84">
        <f t="shared" si="10"/>
        <v>1</v>
      </c>
      <c r="P68" s="10"/>
      <c r="Q68" s="698">
        <v>1</v>
      </c>
      <c r="R68" s="84">
        <f t="shared" si="11"/>
        <v>1</v>
      </c>
      <c r="S68" s="10"/>
      <c r="T68" s="699">
        <v>1</v>
      </c>
    </row>
    <row r="69" spans="1:20" s="72" customFormat="1" ht="15.75">
      <c r="A69" s="59">
        <v>28</v>
      </c>
      <c r="B69" s="70" t="s">
        <v>380</v>
      </c>
      <c r="C69" s="84">
        <f t="shared" si="1"/>
        <v>0</v>
      </c>
      <c r="D69" s="74"/>
      <c r="E69" s="705">
        <v>0</v>
      </c>
      <c r="F69" s="84">
        <f t="shared" si="7"/>
        <v>0</v>
      </c>
      <c r="G69" s="10"/>
      <c r="H69" s="705">
        <v>0</v>
      </c>
      <c r="I69" s="84">
        <f t="shared" si="8"/>
        <v>0</v>
      </c>
      <c r="J69" s="10"/>
      <c r="K69" s="704">
        <v>0</v>
      </c>
      <c r="L69" s="84">
        <f t="shared" si="9"/>
        <v>0</v>
      </c>
      <c r="M69" s="10"/>
      <c r="N69" s="704">
        <v>0</v>
      </c>
      <c r="O69" s="84">
        <f t="shared" si="10"/>
        <v>0</v>
      </c>
      <c r="P69" s="10"/>
      <c r="Q69" s="698">
        <v>0</v>
      </c>
      <c r="R69" s="84">
        <f t="shared" si="11"/>
        <v>0</v>
      </c>
      <c r="S69" s="10"/>
      <c r="T69" s="699">
        <v>0</v>
      </c>
    </row>
    <row r="70" spans="1:20" s="72" customFormat="1" ht="15.75">
      <c r="A70" s="59">
        <v>29</v>
      </c>
      <c r="B70" s="70" t="s">
        <v>381</v>
      </c>
      <c r="C70" s="84">
        <f t="shared" si="1"/>
        <v>0</v>
      </c>
      <c r="D70" s="74"/>
      <c r="E70" s="705">
        <v>0</v>
      </c>
      <c r="F70" s="84">
        <f t="shared" si="7"/>
        <v>0</v>
      </c>
      <c r="G70" s="10"/>
      <c r="H70" s="705">
        <v>0</v>
      </c>
      <c r="I70" s="84">
        <f t="shared" si="8"/>
        <v>0</v>
      </c>
      <c r="J70" s="10"/>
      <c r="K70" s="704">
        <v>0</v>
      </c>
      <c r="L70" s="84">
        <f t="shared" si="9"/>
        <v>0</v>
      </c>
      <c r="M70" s="10"/>
      <c r="N70" s="704">
        <v>0</v>
      </c>
      <c r="O70" s="84">
        <f t="shared" si="10"/>
        <v>0</v>
      </c>
      <c r="P70" s="10"/>
      <c r="Q70" s="698">
        <v>0</v>
      </c>
      <c r="R70" s="84">
        <f t="shared" si="11"/>
        <v>0</v>
      </c>
      <c r="S70" s="10"/>
      <c r="T70" s="699">
        <v>0</v>
      </c>
    </row>
    <row r="71" spans="1:20" s="72" customFormat="1" ht="15.75">
      <c r="A71" s="59">
        <v>30</v>
      </c>
      <c r="B71" s="70" t="s">
        <v>382</v>
      </c>
      <c r="C71" s="84">
        <f t="shared" si="1"/>
        <v>14</v>
      </c>
      <c r="D71" s="74"/>
      <c r="E71" s="118">
        <v>14</v>
      </c>
      <c r="F71" s="84">
        <f t="shared" si="7"/>
        <v>3</v>
      </c>
      <c r="G71" s="10"/>
      <c r="H71" s="118">
        <v>3</v>
      </c>
      <c r="I71" s="84">
        <f t="shared" si="8"/>
        <v>0</v>
      </c>
      <c r="J71" s="10"/>
      <c r="K71" s="704">
        <v>0</v>
      </c>
      <c r="L71" s="84">
        <f t="shared" si="9"/>
        <v>0</v>
      </c>
      <c r="M71" s="10"/>
      <c r="N71" s="704">
        <v>0</v>
      </c>
      <c r="O71" s="84">
        <f t="shared" si="10"/>
        <v>7</v>
      </c>
      <c r="P71" s="10"/>
      <c r="Q71" s="698">
        <v>7</v>
      </c>
      <c r="R71" s="84">
        <f t="shared" si="11"/>
        <v>1</v>
      </c>
      <c r="S71" s="10"/>
      <c r="T71" s="699">
        <v>1</v>
      </c>
    </row>
    <row r="72" spans="1:20" s="72" customFormat="1" ht="15.75">
      <c r="A72" s="59">
        <v>31</v>
      </c>
      <c r="B72" s="70" t="s">
        <v>383</v>
      </c>
      <c r="C72" s="84">
        <f t="shared" si="1"/>
        <v>18</v>
      </c>
      <c r="D72" s="74"/>
      <c r="E72" s="118">
        <v>18</v>
      </c>
      <c r="F72" s="84">
        <f t="shared" si="7"/>
        <v>3</v>
      </c>
      <c r="G72" s="10"/>
      <c r="H72" s="118">
        <v>3</v>
      </c>
      <c r="I72" s="84">
        <f t="shared" si="8"/>
        <v>0</v>
      </c>
      <c r="J72" s="10"/>
      <c r="K72" s="704">
        <v>0</v>
      </c>
      <c r="L72" s="84">
        <f t="shared" si="9"/>
        <v>0</v>
      </c>
      <c r="M72" s="10"/>
      <c r="N72" s="704">
        <v>0</v>
      </c>
      <c r="O72" s="84">
        <f t="shared" si="10"/>
        <v>14</v>
      </c>
      <c r="P72" s="10"/>
      <c r="Q72" s="698">
        <v>14</v>
      </c>
      <c r="R72" s="84">
        <f t="shared" si="11"/>
        <v>2</v>
      </c>
      <c r="S72" s="10"/>
      <c r="T72" s="699">
        <v>2</v>
      </c>
    </row>
    <row r="73" spans="1:20" s="72" customFormat="1" ht="15.75">
      <c r="A73" s="59">
        <v>32</v>
      </c>
      <c r="B73" s="70" t="s">
        <v>384</v>
      </c>
      <c r="C73" s="84">
        <f t="shared" si="1"/>
        <v>0</v>
      </c>
      <c r="D73" s="74"/>
      <c r="E73" s="118">
        <v>0</v>
      </c>
      <c r="F73" s="84">
        <f t="shared" si="7"/>
        <v>0</v>
      </c>
      <c r="G73" s="10"/>
      <c r="H73" s="118">
        <v>0</v>
      </c>
      <c r="I73" s="84">
        <f t="shared" si="8"/>
        <v>0</v>
      </c>
      <c r="J73" s="10"/>
      <c r="K73" s="704">
        <v>0</v>
      </c>
      <c r="L73" s="84">
        <f t="shared" si="9"/>
        <v>0</v>
      </c>
      <c r="M73" s="10"/>
      <c r="N73" s="704">
        <v>0</v>
      </c>
      <c r="O73" s="84">
        <f t="shared" si="10"/>
        <v>0</v>
      </c>
      <c r="P73" s="10"/>
      <c r="Q73" s="698">
        <v>0</v>
      </c>
      <c r="R73" s="84">
        <f t="shared" si="11"/>
        <v>0</v>
      </c>
      <c r="S73" s="10"/>
      <c r="T73" s="699">
        <v>0</v>
      </c>
    </row>
    <row r="74" spans="1:20" s="72" customFormat="1" ht="15.75">
      <c r="A74" s="59">
        <v>33</v>
      </c>
      <c r="B74" s="70" t="s">
        <v>385</v>
      </c>
      <c r="C74" s="84">
        <f t="shared" si="1"/>
        <v>8</v>
      </c>
      <c r="D74" s="74"/>
      <c r="E74" s="116">
        <v>8</v>
      </c>
      <c r="F74" s="84">
        <f t="shared" si="7"/>
        <v>8</v>
      </c>
      <c r="G74" s="10"/>
      <c r="H74" s="116">
        <v>8</v>
      </c>
      <c r="I74" s="84">
        <f t="shared" si="8"/>
        <v>4</v>
      </c>
      <c r="J74" s="10"/>
      <c r="K74" s="704">
        <v>4</v>
      </c>
      <c r="L74" s="84">
        <f t="shared" si="9"/>
        <v>4</v>
      </c>
      <c r="M74" s="10"/>
      <c r="N74" s="704">
        <v>4</v>
      </c>
      <c r="O74" s="84">
        <f t="shared" si="10"/>
        <v>0</v>
      </c>
      <c r="P74" s="10"/>
      <c r="Q74" s="698">
        <v>0</v>
      </c>
      <c r="R74" s="84">
        <f t="shared" si="11"/>
        <v>0</v>
      </c>
      <c r="S74" s="10"/>
      <c r="T74" s="699">
        <v>0</v>
      </c>
    </row>
    <row r="75" spans="1:20" s="72" customFormat="1" ht="15.75">
      <c r="A75" s="59">
        <v>34</v>
      </c>
      <c r="B75" s="70" t="s">
        <v>386</v>
      </c>
      <c r="C75" s="84">
        <f t="shared" si="1"/>
        <v>3</v>
      </c>
      <c r="D75" s="74"/>
      <c r="E75" s="118">
        <v>3</v>
      </c>
      <c r="F75" s="84">
        <f t="shared" si="7"/>
        <v>2</v>
      </c>
      <c r="G75" s="10"/>
      <c r="H75" s="118">
        <v>2</v>
      </c>
      <c r="I75" s="84">
        <f t="shared" si="8"/>
        <v>3</v>
      </c>
      <c r="J75" s="10"/>
      <c r="K75" s="704">
        <v>3</v>
      </c>
      <c r="L75" s="84">
        <f t="shared" si="9"/>
        <v>2</v>
      </c>
      <c r="M75" s="10"/>
      <c r="N75" s="704">
        <v>2</v>
      </c>
      <c r="O75" s="84">
        <f t="shared" si="10"/>
        <v>3</v>
      </c>
      <c r="P75" s="10"/>
      <c r="Q75" s="698">
        <v>3</v>
      </c>
      <c r="R75" s="84">
        <f t="shared" si="11"/>
        <v>2</v>
      </c>
      <c r="S75" s="10"/>
      <c r="T75" s="699">
        <v>2</v>
      </c>
    </row>
    <row r="76" spans="1:20" s="72" customFormat="1" ht="15.75">
      <c r="A76" s="59">
        <v>35</v>
      </c>
      <c r="B76" s="70" t="s">
        <v>387</v>
      </c>
      <c r="C76" s="84">
        <f t="shared" si="1"/>
        <v>1</v>
      </c>
      <c r="D76" s="74"/>
      <c r="E76" s="118">
        <v>1</v>
      </c>
      <c r="F76" s="84">
        <f t="shared" si="7"/>
        <v>1</v>
      </c>
      <c r="G76" s="10"/>
      <c r="H76" s="118">
        <v>1</v>
      </c>
      <c r="I76" s="84">
        <f t="shared" si="8"/>
        <v>0</v>
      </c>
      <c r="J76" s="10"/>
      <c r="K76" s="704">
        <v>0</v>
      </c>
      <c r="L76" s="84">
        <f t="shared" si="9"/>
        <v>0</v>
      </c>
      <c r="M76" s="10"/>
      <c r="N76" s="704">
        <v>0</v>
      </c>
      <c r="O76" s="84">
        <f t="shared" si="10"/>
        <v>8</v>
      </c>
      <c r="P76" s="10"/>
      <c r="Q76" s="698">
        <v>8</v>
      </c>
      <c r="R76" s="84">
        <f t="shared" si="11"/>
        <v>2</v>
      </c>
      <c r="S76" s="10"/>
      <c r="T76" s="699">
        <v>2</v>
      </c>
    </row>
    <row r="77" spans="1:20" s="72" customFormat="1" ht="15.75">
      <c r="A77" s="59">
        <v>36</v>
      </c>
      <c r="B77" s="71" t="s">
        <v>388</v>
      </c>
      <c r="C77" s="84">
        <f aca="true" t="shared" si="12" ref="C77:C104">D77+E77</f>
        <v>6</v>
      </c>
      <c r="D77" s="74"/>
      <c r="E77" s="118">
        <v>6</v>
      </c>
      <c r="F77" s="84">
        <f t="shared" si="7"/>
        <v>2</v>
      </c>
      <c r="G77" s="10"/>
      <c r="H77" s="118">
        <v>2</v>
      </c>
      <c r="I77" s="84">
        <f t="shared" si="8"/>
        <v>0</v>
      </c>
      <c r="J77" s="10"/>
      <c r="K77" s="704">
        <v>0</v>
      </c>
      <c r="L77" s="84">
        <f t="shared" si="9"/>
        <v>0</v>
      </c>
      <c r="M77" s="10"/>
      <c r="N77" s="704">
        <v>0</v>
      </c>
      <c r="O77" s="84">
        <f t="shared" si="10"/>
        <v>2</v>
      </c>
      <c r="P77" s="10"/>
      <c r="Q77" s="698">
        <v>2</v>
      </c>
      <c r="R77" s="84">
        <f t="shared" si="11"/>
        <v>1</v>
      </c>
      <c r="S77" s="10"/>
      <c r="T77" s="699">
        <v>1</v>
      </c>
    </row>
    <row r="78" spans="1:20" s="72" customFormat="1" ht="15.75">
      <c r="A78" s="59">
        <v>37</v>
      </c>
      <c r="B78" s="71" t="s">
        <v>389</v>
      </c>
      <c r="C78" s="84">
        <f t="shared" si="12"/>
        <v>0</v>
      </c>
      <c r="D78" s="74"/>
      <c r="E78" s="116">
        <v>0</v>
      </c>
      <c r="F78" s="84">
        <f t="shared" si="7"/>
        <v>0</v>
      </c>
      <c r="G78" s="10"/>
      <c r="H78" s="116">
        <v>0</v>
      </c>
      <c r="I78" s="84">
        <f t="shared" si="8"/>
        <v>0</v>
      </c>
      <c r="J78" s="10"/>
      <c r="K78" s="704">
        <v>0</v>
      </c>
      <c r="L78" s="84">
        <f t="shared" si="9"/>
        <v>0</v>
      </c>
      <c r="M78" s="10"/>
      <c r="N78" s="704">
        <v>0</v>
      </c>
      <c r="O78" s="84">
        <f t="shared" si="10"/>
        <v>0</v>
      </c>
      <c r="P78" s="10"/>
      <c r="Q78" s="698">
        <v>0</v>
      </c>
      <c r="R78" s="84">
        <f t="shared" si="11"/>
        <v>0</v>
      </c>
      <c r="S78" s="10"/>
      <c r="T78" s="699">
        <v>0</v>
      </c>
    </row>
    <row r="79" spans="1:20" s="72" customFormat="1" ht="15.75">
      <c r="A79" s="59">
        <v>38</v>
      </c>
      <c r="B79" s="71" t="s">
        <v>390</v>
      </c>
      <c r="C79" s="84">
        <f t="shared" si="12"/>
        <v>0</v>
      </c>
      <c r="D79" s="74"/>
      <c r="E79" s="118">
        <v>0</v>
      </c>
      <c r="F79" s="84">
        <f t="shared" si="7"/>
        <v>0</v>
      </c>
      <c r="G79" s="10"/>
      <c r="H79" s="118">
        <v>0</v>
      </c>
      <c r="I79" s="84">
        <f t="shared" si="8"/>
        <v>0</v>
      </c>
      <c r="J79" s="10"/>
      <c r="K79" s="704">
        <v>0</v>
      </c>
      <c r="L79" s="84">
        <f t="shared" si="9"/>
        <v>0</v>
      </c>
      <c r="M79" s="10"/>
      <c r="N79" s="704">
        <v>0</v>
      </c>
      <c r="O79" s="84">
        <f t="shared" si="10"/>
        <v>0</v>
      </c>
      <c r="P79" s="10"/>
      <c r="Q79" s="698">
        <v>0</v>
      </c>
      <c r="R79" s="84">
        <f t="shared" si="11"/>
        <v>0</v>
      </c>
      <c r="S79" s="10"/>
      <c r="T79" s="699">
        <v>0</v>
      </c>
    </row>
    <row r="80" spans="1:20" s="72" customFormat="1" ht="15.75">
      <c r="A80" s="59">
        <v>39</v>
      </c>
      <c r="B80" s="71" t="s">
        <v>391</v>
      </c>
      <c r="C80" s="84">
        <f t="shared" si="12"/>
        <v>0</v>
      </c>
      <c r="D80" s="74"/>
      <c r="E80" s="118">
        <v>0</v>
      </c>
      <c r="F80" s="84">
        <f t="shared" si="7"/>
        <v>0</v>
      </c>
      <c r="G80" s="10"/>
      <c r="H80" s="118">
        <v>0</v>
      </c>
      <c r="I80" s="84">
        <f t="shared" si="8"/>
        <v>0</v>
      </c>
      <c r="J80" s="10"/>
      <c r="K80" s="704"/>
      <c r="L80" s="84">
        <f t="shared" si="9"/>
        <v>0</v>
      </c>
      <c r="M80" s="10"/>
      <c r="N80" s="704"/>
      <c r="O80" s="84">
        <f t="shared" si="10"/>
        <v>0</v>
      </c>
      <c r="P80" s="10"/>
      <c r="Q80" s="698">
        <v>0</v>
      </c>
      <c r="R80" s="84">
        <f t="shared" si="11"/>
        <v>0</v>
      </c>
      <c r="S80" s="10"/>
      <c r="T80" s="699">
        <v>0</v>
      </c>
    </row>
    <row r="81" spans="1:20" s="72" customFormat="1" ht="15.75">
      <c r="A81" s="59">
        <v>40</v>
      </c>
      <c r="B81" s="71" t="s">
        <v>392</v>
      </c>
      <c r="C81" s="84">
        <f t="shared" si="12"/>
        <v>2</v>
      </c>
      <c r="D81" s="74"/>
      <c r="E81" s="118">
        <v>2</v>
      </c>
      <c r="F81" s="84">
        <f t="shared" si="7"/>
        <v>2</v>
      </c>
      <c r="G81" s="10"/>
      <c r="H81" s="118">
        <v>2</v>
      </c>
      <c r="I81" s="84">
        <f t="shared" si="8"/>
        <v>1</v>
      </c>
      <c r="J81" s="10"/>
      <c r="K81" s="704">
        <v>1</v>
      </c>
      <c r="L81" s="84">
        <f t="shared" si="9"/>
        <v>1</v>
      </c>
      <c r="M81" s="10"/>
      <c r="N81" s="704">
        <v>1</v>
      </c>
      <c r="O81" s="84">
        <f t="shared" si="10"/>
        <v>2</v>
      </c>
      <c r="P81" s="10"/>
      <c r="Q81" s="698">
        <v>2</v>
      </c>
      <c r="R81" s="84">
        <f t="shared" si="11"/>
        <v>2</v>
      </c>
      <c r="S81" s="10"/>
      <c r="T81" s="699">
        <v>2</v>
      </c>
    </row>
    <row r="82" spans="1:20" s="72" customFormat="1" ht="15.75">
      <c r="A82" s="59">
        <v>41</v>
      </c>
      <c r="B82" s="71" t="s">
        <v>393</v>
      </c>
      <c r="C82" s="84">
        <f t="shared" si="12"/>
        <v>2</v>
      </c>
      <c r="D82" s="74"/>
      <c r="E82" s="118">
        <v>2</v>
      </c>
      <c r="F82" s="84">
        <f t="shared" si="7"/>
        <v>1</v>
      </c>
      <c r="G82" s="10"/>
      <c r="H82" s="118">
        <v>1</v>
      </c>
      <c r="I82" s="84">
        <f t="shared" si="8"/>
        <v>0</v>
      </c>
      <c r="J82" s="10"/>
      <c r="K82" s="704"/>
      <c r="L82" s="84">
        <f t="shared" si="9"/>
        <v>0</v>
      </c>
      <c r="M82" s="10"/>
      <c r="N82" s="704"/>
      <c r="O82" s="84">
        <f t="shared" si="10"/>
        <v>2</v>
      </c>
      <c r="P82" s="10"/>
      <c r="Q82" s="698">
        <v>2</v>
      </c>
      <c r="R82" s="84">
        <f t="shared" si="11"/>
        <v>1</v>
      </c>
      <c r="S82" s="10"/>
      <c r="T82" s="699">
        <v>1</v>
      </c>
    </row>
    <row r="83" spans="1:20" s="72" customFormat="1" ht="15.75">
      <c r="A83" s="59">
        <v>42</v>
      </c>
      <c r="B83" s="71" t="s">
        <v>394</v>
      </c>
      <c r="C83" s="84">
        <f t="shared" si="12"/>
        <v>0</v>
      </c>
      <c r="D83" s="74"/>
      <c r="E83" s="118">
        <v>0</v>
      </c>
      <c r="F83" s="84">
        <f t="shared" si="7"/>
        <v>0</v>
      </c>
      <c r="G83" s="10"/>
      <c r="H83" s="118">
        <v>0</v>
      </c>
      <c r="I83" s="84">
        <f t="shared" si="8"/>
        <v>0</v>
      </c>
      <c r="J83" s="10"/>
      <c r="K83" s="704">
        <v>0</v>
      </c>
      <c r="L83" s="84">
        <f t="shared" si="9"/>
        <v>0</v>
      </c>
      <c r="M83" s="10"/>
      <c r="N83" s="704">
        <v>0</v>
      </c>
      <c r="O83" s="84">
        <f t="shared" si="10"/>
        <v>1</v>
      </c>
      <c r="P83" s="10"/>
      <c r="Q83" s="698">
        <v>1</v>
      </c>
      <c r="R83" s="84">
        <f t="shared" si="11"/>
        <v>1</v>
      </c>
      <c r="S83" s="10"/>
      <c r="T83" s="699">
        <v>1</v>
      </c>
    </row>
    <row r="84" spans="1:20" s="72" customFormat="1" ht="15.75">
      <c r="A84" s="59">
        <v>43</v>
      </c>
      <c r="B84" s="71" t="s">
        <v>395</v>
      </c>
      <c r="C84" s="84">
        <f t="shared" si="12"/>
        <v>0</v>
      </c>
      <c r="D84" s="74"/>
      <c r="E84" s="118">
        <v>0</v>
      </c>
      <c r="F84" s="84">
        <f t="shared" si="7"/>
        <v>0</v>
      </c>
      <c r="G84" s="10"/>
      <c r="H84" s="118">
        <v>0</v>
      </c>
      <c r="I84" s="84">
        <f t="shared" si="8"/>
        <v>0</v>
      </c>
      <c r="J84" s="10"/>
      <c r="K84" s="704">
        <v>0</v>
      </c>
      <c r="L84" s="84">
        <f t="shared" si="9"/>
        <v>0</v>
      </c>
      <c r="M84" s="10"/>
      <c r="N84" s="704">
        <v>0</v>
      </c>
      <c r="O84" s="84">
        <f t="shared" si="10"/>
        <v>0</v>
      </c>
      <c r="P84" s="10"/>
      <c r="Q84" s="698">
        <v>0</v>
      </c>
      <c r="R84" s="84">
        <f t="shared" si="11"/>
        <v>0</v>
      </c>
      <c r="S84" s="10"/>
      <c r="T84" s="699">
        <v>0</v>
      </c>
    </row>
    <row r="85" spans="1:20" s="72" customFormat="1" ht="15.75">
      <c r="A85" s="59">
        <v>44</v>
      </c>
      <c r="B85" s="71" t="s">
        <v>396</v>
      </c>
      <c r="C85" s="84">
        <f t="shared" si="12"/>
        <v>4</v>
      </c>
      <c r="D85" s="74"/>
      <c r="E85" s="118">
        <v>4</v>
      </c>
      <c r="F85" s="84">
        <f t="shared" si="7"/>
        <v>2</v>
      </c>
      <c r="G85" s="10"/>
      <c r="H85" s="118">
        <v>2</v>
      </c>
      <c r="I85" s="84">
        <f t="shared" si="8"/>
        <v>3</v>
      </c>
      <c r="J85" s="10"/>
      <c r="K85" s="704">
        <v>3</v>
      </c>
      <c r="L85" s="84">
        <f t="shared" si="9"/>
        <v>1</v>
      </c>
      <c r="M85" s="10"/>
      <c r="N85" s="704">
        <v>1</v>
      </c>
      <c r="O85" s="84">
        <f t="shared" si="10"/>
        <v>4</v>
      </c>
      <c r="P85" s="10"/>
      <c r="Q85" s="698">
        <v>4</v>
      </c>
      <c r="R85" s="84">
        <f t="shared" si="11"/>
        <v>2</v>
      </c>
      <c r="S85" s="10"/>
      <c r="T85" s="699">
        <v>2</v>
      </c>
    </row>
    <row r="86" spans="1:20" s="48" customFormat="1" ht="15.75">
      <c r="A86" s="59">
        <v>45</v>
      </c>
      <c r="B86" s="76" t="s">
        <v>397</v>
      </c>
      <c r="C86" s="84">
        <f t="shared" si="12"/>
        <v>3</v>
      </c>
      <c r="D86" s="74"/>
      <c r="E86" s="118">
        <v>3</v>
      </c>
      <c r="F86" s="84">
        <f t="shared" si="7"/>
        <v>2</v>
      </c>
      <c r="G86" s="10"/>
      <c r="H86" s="118">
        <v>2</v>
      </c>
      <c r="I86" s="84">
        <f t="shared" si="8"/>
        <v>3</v>
      </c>
      <c r="J86" s="10"/>
      <c r="K86" s="704">
        <v>3</v>
      </c>
      <c r="L86" s="84">
        <f t="shared" si="9"/>
        <v>2</v>
      </c>
      <c r="M86" s="10"/>
      <c r="N86" s="704">
        <v>2</v>
      </c>
      <c r="O86" s="84">
        <f t="shared" si="10"/>
        <v>3</v>
      </c>
      <c r="P86" s="10"/>
      <c r="Q86" s="698">
        <v>3</v>
      </c>
      <c r="R86" s="84">
        <f t="shared" si="11"/>
        <v>2</v>
      </c>
      <c r="S86" s="10"/>
      <c r="T86" s="699">
        <v>2</v>
      </c>
    </row>
    <row r="87" spans="1:20" s="48" customFormat="1" ht="15.75">
      <c r="A87" s="59">
        <v>46</v>
      </c>
      <c r="B87" s="76" t="s">
        <v>398</v>
      </c>
      <c r="C87" s="84">
        <f t="shared" si="12"/>
        <v>0</v>
      </c>
      <c r="D87" s="74"/>
      <c r="E87" s="116">
        <v>0</v>
      </c>
      <c r="F87" s="84">
        <f t="shared" si="7"/>
        <v>0</v>
      </c>
      <c r="G87" s="10"/>
      <c r="H87" s="116">
        <v>0</v>
      </c>
      <c r="I87" s="84">
        <f t="shared" si="8"/>
        <v>0</v>
      </c>
      <c r="J87" s="10"/>
      <c r="K87" s="704">
        <v>0</v>
      </c>
      <c r="L87" s="84">
        <f t="shared" si="9"/>
        <v>0</v>
      </c>
      <c r="M87" s="10"/>
      <c r="N87" s="704">
        <v>0</v>
      </c>
      <c r="O87" s="84">
        <f t="shared" si="10"/>
        <v>0</v>
      </c>
      <c r="P87" s="10"/>
      <c r="Q87" s="698">
        <v>0</v>
      </c>
      <c r="R87" s="84">
        <f t="shared" si="11"/>
        <v>0</v>
      </c>
      <c r="S87" s="10"/>
      <c r="T87" s="699">
        <v>0</v>
      </c>
    </row>
    <row r="88" spans="1:20" s="48" customFormat="1" ht="15.75">
      <c r="A88" s="59">
        <v>47</v>
      </c>
      <c r="B88" s="76" t="s">
        <v>399</v>
      </c>
      <c r="C88" s="84">
        <f t="shared" si="12"/>
        <v>0</v>
      </c>
      <c r="D88" s="74"/>
      <c r="E88" s="116">
        <v>0</v>
      </c>
      <c r="F88" s="84">
        <f t="shared" si="7"/>
        <v>0</v>
      </c>
      <c r="G88" s="10"/>
      <c r="H88" s="116">
        <v>0</v>
      </c>
      <c r="I88" s="84">
        <f t="shared" si="8"/>
        <v>0</v>
      </c>
      <c r="J88" s="10"/>
      <c r="K88" s="704">
        <v>0</v>
      </c>
      <c r="L88" s="84">
        <f t="shared" si="9"/>
        <v>0</v>
      </c>
      <c r="M88" s="10"/>
      <c r="N88" s="704">
        <v>0</v>
      </c>
      <c r="O88" s="84">
        <f t="shared" si="10"/>
        <v>0</v>
      </c>
      <c r="P88" s="10"/>
      <c r="Q88" s="698">
        <v>0</v>
      </c>
      <c r="R88" s="84">
        <f t="shared" si="11"/>
        <v>0</v>
      </c>
      <c r="S88" s="10"/>
      <c r="T88" s="699">
        <v>0</v>
      </c>
    </row>
    <row r="89" spans="1:20" s="48" customFormat="1" ht="15.75">
      <c r="A89" s="59">
        <v>48</v>
      </c>
      <c r="B89" s="76" t="s">
        <v>400</v>
      </c>
      <c r="C89" s="84">
        <f t="shared" si="12"/>
        <v>1</v>
      </c>
      <c r="D89" s="74"/>
      <c r="E89" s="115">
        <v>1</v>
      </c>
      <c r="F89" s="84">
        <f t="shared" si="7"/>
        <v>1</v>
      </c>
      <c r="G89" s="10"/>
      <c r="H89" s="115">
        <v>1</v>
      </c>
      <c r="I89" s="84">
        <f t="shared" si="8"/>
        <v>1</v>
      </c>
      <c r="J89" s="10"/>
      <c r="K89" s="704">
        <v>1</v>
      </c>
      <c r="L89" s="84">
        <f t="shared" si="9"/>
        <v>1</v>
      </c>
      <c r="M89" s="10"/>
      <c r="N89" s="704">
        <v>1</v>
      </c>
      <c r="O89" s="84">
        <f t="shared" si="10"/>
        <v>7</v>
      </c>
      <c r="P89" s="10"/>
      <c r="Q89" s="698">
        <v>7</v>
      </c>
      <c r="R89" s="84">
        <f t="shared" si="11"/>
        <v>5</v>
      </c>
      <c r="S89" s="10"/>
      <c r="T89" s="699">
        <v>5</v>
      </c>
    </row>
    <row r="90" spans="1:20" s="48" customFormat="1" ht="15.75">
      <c r="A90" s="59">
        <v>49</v>
      </c>
      <c r="B90" s="76" t="s">
        <v>401</v>
      </c>
      <c r="C90" s="84">
        <f t="shared" si="12"/>
        <v>2</v>
      </c>
      <c r="D90" s="74"/>
      <c r="E90" s="118">
        <v>2</v>
      </c>
      <c r="F90" s="84">
        <f t="shared" si="7"/>
        <v>1</v>
      </c>
      <c r="G90" s="10"/>
      <c r="H90" s="118">
        <v>1</v>
      </c>
      <c r="I90" s="84">
        <f t="shared" si="8"/>
        <v>2</v>
      </c>
      <c r="J90" s="10"/>
      <c r="K90" s="704">
        <v>2</v>
      </c>
      <c r="L90" s="84">
        <f t="shared" si="9"/>
        <v>1</v>
      </c>
      <c r="M90" s="10"/>
      <c r="N90" s="704">
        <v>1</v>
      </c>
      <c r="O90" s="84">
        <f t="shared" si="10"/>
        <v>5</v>
      </c>
      <c r="P90" s="10"/>
      <c r="Q90" s="698">
        <v>5</v>
      </c>
      <c r="R90" s="84">
        <f t="shared" si="11"/>
        <v>4</v>
      </c>
      <c r="S90" s="10"/>
      <c r="T90" s="699">
        <v>4</v>
      </c>
    </row>
    <row r="91" spans="1:20" s="48" customFormat="1" ht="15.75">
      <c r="A91" s="59">
        <v>50</v>
      </c>
      <c r="B91" s="76" t="s">
        <v>402</v>
      </c>
      <c r="C91" s="84">
        <f t="shared" si="12"/>
        <v>4</v>
      </c>
      <c r="D91" s="74"/>
      <c r="E91" s="116">
        <v>4</v>
      </c>
      <c r="F91" s="84">
        <f t="shared" si="7"/>
        <v>2</v>
      </c>
      <c r="G91" s="10"/>
      <c r="H91" s="116">
        <v>2</v>
      </c>
      <c r="I91" s="84">
        <f t="shared" si="8"/>
        <v>4</v>
      </c>
      <c r="J91" s="10"/>
      <c r="K91" s="704">
        <v>4</v>
      </c>
      <c r="L91" s="84">
        <f t="shared" si="9"/>
        <v>2</v>
      </c>
      <c r="M91" s="10"/>
      <c r="N91" s="704">
        <v>2</v>
      </c>
      <c r="O91" s="84">
        <f t="shared" si="10"/>
        <v>4</v>
      </c>
      <c r="P91" s="10"/>
      <c r="Q91" s="698">
        <v>4</v>
      </c>
      <c r="R91" s="84">
        <f t="shared" si="11"/>
        <v>2</v>
      </c>
      <c r="S91" s="10"/>
      <c r="T91" s="699">
        <v>2</v>
      </c>
    </row>
    <row r="92" spans="1:20" s="48" customFormat="1" ht="15.75">
      <c r="A92" s="59">
        <v>51</v>
      </c>
      <c r="B92" s="75" t="s">
        <v>403</v>
      </c>
      <c r="C92" s="84">
        <f t="shared" si="12"/>
        <v>2</v>
      </c>
      <c r="D92" s="74"/>
      <c r="E92" s="118">
        <v>2</v>
      </c>
      <c r="F92" s="84">
        <f t="shared" si="7"/>
        <v>1</v>
      </c>
      <c r="G92" s="10"/>
      <c r="H92" s="118">
        <v>1</v>
      </c>
      <c r="I92" s="84">
        <f t="shared" si="8"/>
        <v>0</v>
      </c>
      <c r="J92" s="10"/>
      <c r="K92" s="704">
        <v>0</v>
      </c>
      <c r="L92" s="84">
        <f t="shared" si="9"/>
        <v>0</v>
      </c>
      <c r="M92" s="10"/>
      <c r="N92" s="704">
        <v>0</v>
      </c>
      <c r="O92" s="84">
        <f t="shared" si="10"/>
        <v>0</v>
      </c>
      <c r="P92" s="10"/>
      <c r="Q92" s="698">
        <v>0</v>
      </c>
      <c r="R92" s="84">
        <f t="shared" si="11"/>
        <v>0</v>
      </c>
      <c r="S92" s="10"/>
      <c r="T92" s="699">
        <v>0</v>
      </c>
    </row>
    <row r="93" spans="1:20" s="48" customFormat="1" ht="15.75">
      <c r="A93" s="59">
        <v>52</v>
      </c>
      <c r="B93" s="75" t="s">
        <v>404</v>
      </c>
      <c r="C93" s="84">
        <f t="shared" si="12"/>
        <v>0</v>
      </c>
      <c r="D93" s="74"/>
      <c r="E93" s="116">
        <v>0</v>
      </c>
      <c r="F93" s="84">
        <f t="shared" si="7"/>
        <v>0</v>
      </c>
      <c r="G93" s="10"/>
      <c r="H93" s="116">
        <v>0</v>
      </c>
      <c r="I93" s="84">
        <f t="shared" si="8"/>
        <v>0</v>
      </c>
      <c r="J93" s="10"/>
      <c r="K93" s="704">
        <v>0</v>
      </c>
      <c r="L93" s="84">
        <f t="shared" si="9"/>
        <v>0</v>
      </c>
      <c r="M93" s="10"/>
      <c r="N93" s="704">
        <v>0</v>
      </c>
      <c r="O93" s="84">
        <f t="shared" si="10"/>
        <v>0</v>
      </c>
      <c r="P93" s="10"/>
      <c r="Q93" s="698">
        <v>0</v>
      </c>
      <c r="R93" s="84">
        <f t="shared" si="11"/>
        <v>0</v>
      </c>
      <c r="S93" s="10"/>
      <c r="T93" s="699">
        <v>0</v>
      </c>
    </row>
    <row r="94" spans="1:20" s="48" customFormat="1" ht="15.75">
      <c r="A94" s="59">
        <v>53</v>
      </c>
      <c r="B94" s="75" t="s">
        <v>405</v>
      </c>
      <c r="C94" s="84">
        <f t="shared" si="12"/>
        <v>20</v>
      </c>
      <c r="D94" s="74"/>
      <c r="E94" s="118">
        <v>20</v>
      </c>
      <c r="F94" s="84">
        <f t="shared" si="7"/>
        <v>2</v>
      </c>
      <c r="G94" s="10"/>
      <c r="H94" s="118">
        <v>2</v>
      </c>
      <c r="I94" s="84">
        <f t="shared" si="8"/>
        <v>20</v>
      </c>
      <c r="J94" s="10"/>
      <c r="K94" s="704">
        <v>20</v>
      </c>
      <c r="L94" s="84">
        <f t="shared" si="9"/>
        <v>2</v>
      </c>
      <c r="M94" s="10"/>
      <c r="N94" s="704">
        <v>2</v>
      </c>
      <c r="O94" s="84">
        <f t="shared" si="10"/>
        <v>20</v>
      </c>
      <c r="P94" s="10"/>
      <c r="Q94" s="698">
        <v>20</v>
      </c>
      <c r="R94" s="84">
        <f t="shared" si="11"/>
        <v>2</v>
      </c>
      <c r="S94" s="10"/>
      <c r="T94" s="699">
        <v>2</v>
      </c>
    </row>
    <row r="95" spans="1:20" s="48" customFormat="1" ht="15.75">
      <c r="A95" s="59">
        <v>54</v>
      </c>
      <c r="B95" s="75" t="s">
        <v>406</v>
      </c>
      <c r="C95" s="84">
        <f t="shared" si="12"/>
        <v>10</v>
      </c>
      <c r="D95" s="74"/>
      <c r="E95" s="705">
        <v>10</v>
      </c>
      <c r="F95" s="84">
        <f t="shared" si="7"/>
        <v>4</v>
      </c>
      <c r="G95" s="10"/>
      <c r="H95" s="705">
        <v>4</v>
      </c>
      <c r="I95" s="84">
        <f t="shared" si="8"/>
        <v>10</v>
      </c>
      <c r="J95" s="10"/>
      <c r="K95" s="704">
        <v>10</v>
      </c>
      <c r="L95" s="84">
        <f t="shared" si="9"/>
        <v>4</v>
      </c>
      <c r="M95" s="10"/>
      <c r="N95" s="704">
        <v>4</v>
      </c>
      <c r="O95" s="84">
        <f t="shared" si="10"/>
        <v>10</v>
      </c>
      <c r="P95" s="10"/>
      <c r="Q95" s="698">
        <v>10</v>
      </c>
      <c r="R95" s="84">
        <f t="shared" si="11"/>
        <v>4</v>
      </c>
      <c r="S95" s="10"/>
      <c r="T95" s="699">
        <v>4</v>
      </c>
    </row>
    <row r="96" spans="1:20" s="48" customFormat="1" ht="15.75">
      <c r="A96" s="59">
        <v>55</v>
      </c>
      <c r="B96" s="75" t="s">
        <v>407</v>
      </c>
      <c r="C96" s="84">
        <f t="shared" si="12"/>
        <v>0</v>
      </c>
      <c r="D96" s="74"/>
      <c r="E96" s="705">
        <v>0</v>
      </c>
      <c r="F96" s="84">
        <f t="shared" si="7"/>
        <v>0</v>
      </c>
      <c r="G96" s="10"/>
      <c r="H96" s="705">
        <v>0</v>
      </c>
      <c r="I96" s="84">
        <f t="shared" si="8"/>
        <v>0</v>
      </c>
      <c r="J96" s="10"/>
      <c r="K96" s="704">
        <v>0</v>
      </c>
      <c r="L96" s="84">
        <f t="shared" si="9"/>
        <v>0</v>
      </c>
      <c r="M96" s="10"/>
      <c r="N96" s="704">
        <v>0</v>
      </c>
      <c r="O96" s="84">
        <f t="shared" si="10"/>
        <v>0</v>
      </c>
      <c r="P96" s="10"/>
      <c r="Q96" s="698">
        <v>0</v>
      </c>
      <c r="R96" s="84">
        <f t="shared" si="11"/>
        <v>0</v>
      </c>
      <c r="S96" s="10"/>
      <c r="T96" s="699">
        <v>0</v>
      </c>
    </row>
    <row r="97" spans="1:20" s="48" customFormat="1" ht="15.75">
      <c r="A97" s="59">
        <v>56</v>
      </c>
      <c r="B97" s="75" t="s">
        <v>408</v>
      </c>
      <c r="C97" s="84">
        <f t="shared" si="12"/>
        <v>1</v>
      </c>
      <c r="D97" s="74"/>
      <c r="E97" s="118">
        <v>1</v>
      </c>
      <c r="F97" s="84">
        <f t="shared" si="7"/>
        <v>1</v>
      </c>
      <c r="G97" s="10"/>
      <c r="H97" s="118">
        <v>1</v>
      </c>
      <c r="I97" s="84">
        <f t="shared" si="8"/>
        <v>8</v>
      </c>
      <c r="J97" s="10"/>
      <c r="K97" s="704">
        <v>8</v>
      </c>
      <c r="L97" s="84">
        <f t="shared" si="9"/>
        <v>2</v>
      </c>
      <c r="M97" s="10"/>
      <c r="N97" s="704">
        <v>2</v>
      </c>
      <c r="O97" s="84">
        <f t="shared" si="10"/>
        <v>1</v>
      </c>
      <c r="P97" s="10"/>
      <c r="Q97" s="698">
        <v>1</v>
      </c>
      <c r="R97" s="84">
        <f t="shared" si="11"/>
        <v>1</v>
      </c>
      <c r="S97" s="10"/>
      <c r="T97" s="699">
        <v>1</v>
      </c>
    </row>
    <row r="98" spans="1:20" s="48" customFormat="1" ht="15.75">
      <c r="A98" s="59">
        <v>57</v>
      </c>
      <c r="B98" s="75" t="s">
        <v>409</v>
      </c>
      <c r="C98" s="84">
        <f t="shared" si="12"/>
        <v>7</v>
      </c>
      <c r="D98" s="74"/>
      <c r="E98" s="118">
        <v>7</v>
      </c>
      <c r="F98" s="84">
        <f t="shared" si="7"/>
        <v>3</v>
      </c>
      <c r="G98" s="10"/>
      <c r="H98" s="118">
        <v>3</v>
      </c>
      <c r="I98" s="84">
        <f t="shared" si="8"/>
        <v>32</v>
      </c>
      <c r="J98" s="10"/>
      <c r="K98" s="704">
        <v>32</v>
      </c>
      <c r="L98" s="84">
        <f t="shared" si="9"/>
        <v>4</v>
      </c>
      <c r="M98" s="10"/>
      <c r="N98" s="704">
        <v>4</v>
      </c>
      <c r="O98" s="84">
        <f t="shared" si="10"/>
        <v>6</v>
      </c>
      <c r="P98" s="10"/>
      <c r="Q98" s="698">
        <v>6</v>
      </c>
      <c r="R98" s="84">
        <f t="shared" si="11"/>
        <v>2</v>
      </c>
      <c r="S98" s="10"/>
      <c r="T98" s="699">
        <v>2</v>
      </c>
    </row>
    <row r="99" spans="1:20" s="49" customFormat="1" ht="15.75">
      <c r="A99" s="59">
        <v>58</v>
      </c>
      <c r="B99" s="75" t="s">
        <v>410</v>
      </c>
      <c r="C99" s="84">
        <f t="shared" si="12"/>
        <v>4</v>
      </c>
      <c r="D99" s="74"/>
      <c r="E99" s="118">
        <v>4</v>
      </c>
      <c r="F99" s="84">
        <f t="shared" si="7"/>
        <v>4</v>
      </c>
      <c r="G99" s="10"/>
      <c r="H99" s="118">
        <v>4</v>
      </c>
      <c r="I99" s="84">
        <f t="shared" si="8"/>
        <v>0</v>
      </c>
      <c r="J99" s="10"/>
      <c r="K99" s="704">
        <v>0</v>
      </c>
      <c r="L99" s="84">
        <f t="shared" si="9"/>
        <v>0</v>
      </c>
      <c r="M99" s="10"/>
      <c r="N99" s="704">
        <v>0</v>
      </c>
      <c r="O99" s="84">
        <f t="shared" si="10"/>
        <v>4</v>
      </c>
      <c r="P99" s="10"/>
      <c r="Q99" s="698">
        <v>4</v>
      </c>
      <c r="R99" s="84">
        <f t="shared" si="11"/>
        <v>4</v>
      </c>
      <c r="S99" s="10"/>
      <c r="T99" s="699">
        <v>4</v>
      </c>
    </row>
    <row r="100" spans="1:20" s="48" customFormat="1" ht="15.75">
      <c r="A100" s="59">
        <v>59</v>
      </c>
      <c r="B100" s="75" t="s">
        <v>411</v>
      </c>
      <c r="C100" s="84">
        <f t="shared" si="12"/>
        <v>11</v>
      </c>
      <c r="D100" s="74"/>
      <c r="E100" s="116">
        <v>11</v>
      </c>
      <c r="F100" s="84">
        <f t="shared" si="7"/>
        <v>5</v>
      </c>
      <c r="G100" s="10"/>
      <c r="H100" s="116">
        <v>5</v>
      </c>
      <c r="I100" s="84">
        <f t="shared" si="8"/>
        <v>11</v>
      </c>
      <c r="J100" s="10"/>
      <c r="K100" s="704">
        <v>11</v>
      </c>
      <c r="L100" s="84">
        <f t="shared" si="9"/>
        <v>5</v>
      </c>
      <c r="M100" s="10"/>
      <c r="N100" s="704">
        <v>5</v>
      </c>
      <c r="O100" s="84">
        <f t="shared" si="10"/>
        <v>11</v>
      </c>
      <c r="P100" s="10"/>
      <c r="Q100" s="698">
        <v>11</v>
      </c>
      <c r="R100" s="84">
        <f t="shared" si="11"/>
        <v>5</v>
      </c>
      <c r="S100" s="10"/>
      <c r="T100" s="699">
        <v>5</v>
      </c>
    </row>
    <row r="101" spans="1:20" s="48" customFormat="1" ht="15.75">
      <c r="A101" s="59">
        <v>60</v>
      </c>
      <c r="B101" s="75" t="s">
        <v>412</v>
      </c>
      <c r="C101" s="84">
        <f t="shared" si="12"/>
        <v>0</v>
      </c>
      <c r="D101" s="74"/>
      <c r="E101" s="116">
        <v>0</v>
      </c>
      <c r="F101" s="84">
        <f t="shared" si="7"/>
        <v>0</v>
      </c>
      <c r="G101" s="10"/>
      <c r="H101" s="116">
        <v>0</v>
      </c>
      <c r="I101" s="84">
        <f t="shared" si="8"/>
        <v>0</v>
      </c>
      <c r="J101" s="10"/>
      <c r="K101" s="704">
        <v>0</v>
      </c>
      <c r="L101" s="84">
        <f t="shared" si="9"/>
        <v>0</v>
      </c>
      <c r="M101" s="10"/>
      <c r="N101" s="704">
        <v>0</v>
      </c>
      <c r="O101" s="84">
        <f t="shared" si="10"/>
        <v>0</v>
      </c>
      <c r="P101" s="10"/>
      <c r="Q101" s="698">
        <v>0</v>
      </c>
      <c r="R101" s="84">
        <f t="shared" si="11"/>
        <v>0</v>
      </c>
      <c r="S101" s="10"/>
      <c r="T101" s="699">
        <v>0</v>
      </c>
    </row>
    <row r="102" spans="1:20" s="48" customFormat="1" ht="15.75">
      <c r="A102" s="59">
        <v>61</v>
      </c>
      <c r="B102" s="75" t="s">
        <v>413</v>
      </c>
      <c r="C102" s="84">
        <f t="shared" si="12"/>
        <v>0</v>
      </c>
      <c r="D102" s="74"/>
      <c r="E102" s="116">
        <v>0</v>
      </c>
      <c r="F102" s="84">
        <f t="shared" si="7"/>
        <v>0</v>
      </c>
      <c r="G102" s="10"/>
      <c r="H102" s="116">
        <v>0</v>
      </c>
      <c r="I102" s="84">
        <f t="shared" si="8"/>
        <v>0</v>
      </c>
      <c r="J102" s="10"/>
      <c r="K102" s="704">
        <v>0</v>
      </c>
      <c r="L102" s="84">
        <f t="shared" si="9"/>
        <v>0</v>
      </c>
      <c r="M102" s="10"/>
      <c r="N102" s="704">
        <v>0</v>
      </c>
      <c r="O102" s="84">
        <f t="shared" si="10"/>
        <v>0</v>
      </c>
      <c r="P102" s="10"/>
      <c r="Q102" s="698">
        <v>0</v>
      </c>
      <c r="R102" s="84">
        <f t="shared" si="11"/>
        <v>0</v>
      </c>
      <c r="S102" s="10"/>
      <c r="T102" s="699">
        <v>0</v>
      </c>
    </row>
    <row r="103" spans="1:20" s="48" customFormat="1" ht="19.5" customHeight="1">
      <c r="A103" s="59">
        <v>62</v>
      </c>
      <c r="B103" s="75" t="s">
        <v>414</v>
      </c>
      <c r="C103" s="84">
        <f t="shared" si="12"/>
        <v>7</v>
      </c>
      <c r="D103" s="74"/>
      <c r="E103" s="118">
        <v>7</v>
      </c>
      <c r="F103" s="84">
        <f t="shared" si="7"/>
        <v>3</v>
      </c>
      <c r="G103" s="10"/>
      <c r="H103" s="118">
        <v>3</v>
      </c>
      <c r="I103" s="84">
        <f t="shared" si="8"/>
        <v>5</v>
      </c>
      <c r="J103" s="10"/>
      <c r="K103" s="704">
        <v>5</v>
      </c>
      <c r="L103" s="84">
        <f t="shared" si="9"/>
        <v>1</v>
      </c>
      <c r="M103" s="10"/>
      <c r="N103" s="704">
        <v>1</v>
      </c>
      <c r="O103" s="84">
        <f t="shared" si="10"/>
        <v>7</v>
      </c>
      <c r="P103" s="10"/>
      <c r="Q103" s="698">
        <v>7</v>
      </c>
      <c r="R103" s="84">
        <f t="shared" si="11"/>
        <v>3</v>
      </c>
      <c r="S103" s="10"/>
      <c r="T103" s="699">
        <v>3</v>
      </c>
    </row>
    <row r="104" spans="1:20" s="48" customFormat="1" ht="15.75">
      <c r="A104" s="59">
        <v>63</v>
      </c>
      <c r="B104" s="75" t="s">
        <v>415</v>
      </c>
      <c r="C104" s="84">
        <f t="shared" si="12"/>
        <v>1</v>
      </c>
      <c r="D104" s="74"/>
      <c r="E104" s="118">
        <v>1</v>
      </c>
      <c r="F104" s="84">
        <f t="shared" si="7"/>
        <v>1</v>
      </c>
      <c r="G104" s="10"/>
      <c r="H104" s="118">
        <v>1</v>
      </c>
      <c r="I104" s="84">
        <f t="shared" si="8"/>
        <v>1</v>
      </c>
      <c r="J104" s="10"/>
      <c r="K104" s="704">
        <v>1</v>
      </c>
      <c r="L104" s="84">
        <f t="shared" si="9"/>
        <v>1</v>
      </c>
      <c r="M104" s="10"/>
      <c r="N104" s="704">
        <v>1</v>
      </c>
      <c r="O104" s="84">
        <f t="shared" si="10"/>
        <v>1</v>
      </c>
      <c r="P104" s="10"/>
      <c r="Q104" s="698">
        <v>1</v>
      </c>
      <c r="R104" s="84">
        <f t="shared" si="11"/>
        <v>1</v>
      </c>
      <c r="S104" s="10"/>
      <c r="T104" s="699">
        <v>1</v>
      </c>
    </row>
    <row r="105" spans="1:20" s="22" customFormat="1" ht="15.75">
      <c r="A105"/>
      <c r="B105" s="50"/>
      <c r="C105" s="13"/>
      <c r="D105" s="13"/>
      <c r="E105"/>
      <c r="F105"/>
      <c r="G105"/>
      <c r="H105"/>
      <c r="I105"/>
      <c r="J105"/>
      <c r="K105"/>
      <c r="L105"/>
      <c r="M105"/>
      <c r="N105"/>
      <c r="O105"/>
      <c r="P105"/>
      <c r="Q105"/>
      <c r="R105"/>
      <c r="S105"/>
      <c r="T105" s="13"/>
    </row>
    <row r="106" spans="1:12" s="89" customFormat="1" ht="18" customHeight="1">
      <c r="A106" s="50"/>
      <c r="B106" s="50" t="s">
        <v>342</v>
      </c>
      <c r="C106" s="56" t="s">
        <v>505</v>
      </c>
      <c r="D106" s="56"/>
      <c r="E106" s="56"/>
      <c r="F106" s="56"/>
      <c r="G106" s="50"/>
      <c r="H106" s="50"/>
      <c r="I106" s="50"/>
      <c r="J106" s="50"/>
      <c r="K106" s="88"/>
      <c r="L106" s="88"/>
    </row>
    <row r="107" spans="1:10" s="87" customFormat="1" ht="18" customHeight="1">
      <c r="A107" s="50"/>
      <c r="B107" s="50" t="s">
        <v>343</v>
      </c>
      <c r="C107" s="50" t="s">
        <v>344</v>
      </c>
      <c r="E107" s="50"/>
      <c r="F107" s="50"/>
      <c r="G107" s="50"/>
      <c r="H107" s="50"/>
      <c r="I107" s="50"/>
      <c r="J107" s="50"/>
    </row>
    <row r="108" spans="1:10" s="87" customFormat="1" ht="18" customHeight="1">
      <c r="A108" s="50"/>
      <c r="B108" s="50" t="s">
        <v>345</v>
      </c>
      <c r="C108" s="50" t="s">
        <v>346</v>
      </c>
      <c r="E108" s="50"/>
      <c r="F108" s="50"/>
      <c r="G108" s="50"/>
      <c r="H108" s="50"/>
      <c r="I108" s="50"/>
      <c r="J108" s="50"/>
    </row>
    <row r="109" spans="1:20" s="22" customFormat="1" ht="15.75">
      <c r="A109"/>
      <c r="B109" s="142"/>
      <c r="C109" s="120" t="s">
        <v>493</v>
      </c>
      <c r="D109" s="13"/>
      <c r="E109"/>
      <c r="F109"/>
      <c r="G109"/>
      <c r="H109"/>
      <c r="I109"/>
      <c r="J109"/>
      <c r="K109"/>
      <c r="L109"/>
      <c r="M109"/>
      <c r="N109"/>
      <c r="O109"/>
      <c r="P109"/>
      <c r="Q109"/>
      <c r="R109"/>
      <c r="S109"/>
      <c r="T109" s="13"/>
    </row>
    <row r="110" spans="1:20" s="22" customFormat="1" ht="15.75">
      <c r="A110"/>
      <c r="B110" s="90"/>
      <c r="C110" s="50" t="s">
        <v>430</v>
      </c>
      <c r="D110" s="13"/>
      <c r="E110"/>
      <c r="F110"/>
      <c r="G110"/>
      <c r="H110"/>
      <c r="I110"/>
      <c r="J110"/>
      <c r="K110"/>
      <c r="L110"/>
      <c r="M110"/>
      <c r="N110"/>
      <c r="O110"/>
      <c r="P110"/>
      <c r="Q110"/>
      <c r="R110"/>
      <c r="S110"/>
      <c r="T110" s="13"/>
    </row>
    <row r="111" spans="1:20" s="22" customFormat="1" ht="15.75">
      <c r="A111"/>
      <c r="B111" s="91"/>
      <c r="C111" s="50" t="s">
        <v>429</v>
      </c>
      <c r="D111" s="13"/>
      <c r="E111"/>
      <c r="F111"/>
      <c r="G111"/>
      <c r="H111"/>
      <c r="I111"/>
      <c r="J111"/>
      <c r="K111"/>
      <c r="L111"/>
      <c r="M111"/>
      <c r="N111"/>
      <c r="O111"/>
      <c r="P111"/>
      <c r="Q111"/>
      <c r="R111"/>
      <c r="S111"/>
      <c r="T111" s="13"/>
    </row>
    <row r="112" spans="1:20" s="38" customFormat="1" ht="15.75">
      <c r="A112"/>
      <c r="B112" s="143"/>
      <c r="C112" s="86" t="s">
        <v>495</v>
      </c>
      <c r="D112" s="13"/>
      <c r="E112"/>
      <c r="F112"/>
      <c r="G112"/>
      <c r="H112"/>
      <c r="I112"/>
      <c r="J112"/>
      <c r="K112"/>
      <c r="L112"/>
      <c r="M112"/>
      <c r="N112"/>
      <c r="O112"/>
      <c r="P112"/>
      <c r="Q112"/>
      <c r="R112"/>
      <c r="S112"/>
      <c r="T112" s="13"/>
    </row>
    <row r="113" spans="1:20" s="22" customFormat="1" ht="16.5" customHeight="1">
      <c r="A113"/>
      <c r="B113" s="50"/>
      <c r="C113" s="13"/>
      <c r="D113" s="13"/>
      <c r="E113"/>
      <c r="F113"/>
      <c r="G113"/>
      <c r="H113"/>
      <c r="I113"/>
      <c r="J113"/>
      <c r="K113"/>
      <c r="L113"/>
      <c r="M113"/>
      <c r="N113"/>
      <c r="O113"/>
      <c r="P113"/>
      <c r="Q113"/>
      <c r="R113"/>
      <c r="S113"/>
      <c r="T113" s="13"/>
    </row>
    <row r="114" spans="1:20" s="22" customFormat="1" ht="15.75">
      <c r="A114"/>
      <c r="B114" s="50"/>
      <c r="C114" s="13"/>
      <c r="D114" s="13"/>
      <c r="E114"/>
      <c r="F114"/>
      <c r="G114"/>
      <c r="H114"/>
      <c r="I114"/>
      <c r="J114"/>
      <c r="K114"/>
      <c r="L114"/>
      <c r="M114"/>
      <c r="N114"/>
      <c r="O114"/>
      <c r="P114"/>
      <c r="Q114"/>
      <c r="R114"/>
      <c r="S114"/>
      <c r="T114" s="13"/>
    </row>
    <row r="115" spans="1:20" s="22" customFormat="1" ht="15.75">
      <c r="A115"/>
      <c r="B115" s="50"/>
      <c r="C115" s="13"/>
      <c r="D115" s="13"/>
      <c r="E115"/>
      <c r="F115"/>
      <c r="G115"/>
      <c r="H115"/>
      <c r="I115"/>
      <c r="J115"/>
      <c r="K115"/>
      <c r="L115"/>
      <c r="M115"/>
      <c r="N115"/>
      <c r="O115"/>
      <c r="P115"/>
      <c r="Q115"/>
      <c r="R115"/>
      <c r="S115"/>
      <c r="T115" s="13"/>
    </row>
    <row r="116" spans="1:20" s="22" customFormat="1" ht="15.75">
      <c r="A116"/>
      <c r="B116" s="50"/>
      <c r="C116" s="13"/>
      <c r="D116" s="13"/>
      <c r="E116"/>
      <c r="F116"/>
      <c r="G116"/>
      <c r="H116"/>
      <c r="I116"/>
      <c r="J116"/>
      <c r="K116"/>
      <c r="L116"/>
      <c r="M116"/>
      <c r="N116"/>
      <c r="O116"/>
      <c r="P116"/>
      <c r="Q116"/>
      <c r="R116"/>
      <c r="S116"/>
      <c r="T116" s="13"/>
    </row>
    <row r="117" spans="1:20" s="22" customFormat="1" ht="15.75">
      <c r="A117"/>
      <c r="B117" s="50"/>
      <c r="C117" s="13"/>
      <c r="D117" s="13"/>
      <c r="E117"/>
      <c r="F117"/>
      <c r="G117"/>
      <c r="H117"/>
      <c r="I117"/>
      <c r="J117"/>
      <c r="K117"/>
      <c r="L117"/>
      <c r="M117"/>
      <c r="N117"/>
      <c r="O117"/>
      <c r="P117"/>
      <c r="Q117"/>
      <c r="R117"/>
      <c r="S117"/>
      <c r="T117" s="13"/>
    </row>
    <row r="118" spans="1:20" s="22" customFormat="1" ht="15.75">
      <c r="A118"/>
      <c r="B118" s="50"/>
      <c r="C118" s="13"/>
      <c r="D118" s="13"/>
      <c r="E118"/>
      <c r="F118"/>
      <c r="G118"/>
      <c r="H118"/>
      <c r="I118"/>
      <c r="J118"/>
      <c r="K118"/>
      <c r="L118"/>
      <c r="M118"/>
      <c r="N118"/>
      <c r="O118"/>
      <c r="P118"/>
      <c r="Q118"/>
      <c r="R118"/>
      <c r="S118"/>
      <c r="T118" s="13"/>
    </row>
    <row r="119" spans="1:20" s="22" customFormat="1" ht="15.75">
      <c r="A119"/>
      <c r="B119" s="50"/>
      <c r="C119" s="13"/>
      <c r="D119" s="13"/>
      <c r="E119"/>
      <c r="F119"/>
      <c r="G119"/>
      <c r="H119"/>
      <c r="I119"/>
      <c r="J119"/>
      <c r="K119"/>
      <c r="L119"/>
      <c r="M119"/>
      <c r="N119"/>
      <c r="O119"/>
      <c r="P119"/>
      <c r="Q119"/>
      <c r="R119"/>
      <c r="S119"/>
      <c r="T119" s="13"/>
    </row>
    <row r="120" spans="1:20" s="22" customFormat="1" ht="15.75">
      <c r="A120"/>
      <c r="B120" s="50"/>
      <c r="C120" s="13"/>
      <c r="D120" s="13"/>
      <c r="E120"/>
      <c r="F120"/>
      <c r="G120"/>
      <c r="H120"/>
      <c r="I120"/>
      <c r="J120"/>
      <c r="K120"/>
      <c r="L120"/>
      <c r="M120"/>
      <c r="N120"/>
      <c r="O120"/>
      <c r="P120"/>
      <c r="Q120"/>
      <c r="R120"/>
      <c r="S120"/>
      <c r="T120" s="13"/>
    </row>
    <row r="121" spans="1:20" s="22" customFormat="1" ht="15.75">
      <c r="A121"/>
      <c r="B121" s="50"/>
      <c r="C121" s="13"/>
      <c r="D121" s="13"/>
      <c r="E121"/>
      <c r="F121"/>
      <c r="G121"/>
      <c r="H121"/>
      <c r="I121"/>
      <c r="J121"/>
      <c r="K121"/>
      <c r="L121"/>
      <c r="M121"/>
      <c r="N121"/>
      <c r="O121"/>
      <c r="P121"/>
      <c r="Q121"/>
      <c r="R121"/>
      <c r="S121"/>
      <c r="T121" s="13"/>
    </row>
    <row r="122" spans="1:20" s="22" customFormat="1" ht="15.75">
      <c r="A122"/>
      <c r="B122" s="50"/>
      <c r="C122" s="13"/>
      <c r="D122" s="13"/>
      <c r="E122"/>
      <c r="F122"/>
      <c r="G122"/>
      <c r="H122"/>
      <c r="I122"/>
      <c r="J122"/>
      <c r="K122"/>
      <c r="L122"/>
      <c r="M122"/>
      <c r="N122"/>
      <c r="O122"/>
      <c r="P122"/>
      <c r="Q122"/>
      <c r="R122"/>
      <c r="S122"/>
      <c r="T122" s="13"/>
    </row>
    <row r="123" spans="1:20" s="39" customFormat="1" ht="15.75">
      <c r="A123"/>
      <c r="B123" s="50"/>
      <c r="C123" s="13"/>
      <c r="D123" s="13"/>
      <c r="E123"/>
      <c r="F123"/>
      <c r="G123"/>
      <c r="H123"/>
      <c r="I123"/>
      <c r="J123"/>
      <c r="K123"/>
      <c r="L123"/>
      <c r="M123"/>
      <c r="N123"/>
      <c r="O123"/>
      <c r="P123"/>
      <c r="Q123"/>
      <c r="R123"/>
      <c r="S123"/>
      <c r="T123" s="13"/>
    </row>
    <row r="124" spans="1:20" s="22" customFormat="1" ht="15.75">
      <c r="A124"/>
      <c r="B124" s="50"/>
      <c r="C124" s="13"/>
      <c r="D124" s="13"/>
      <c r="E124"/>
      <c r="F124"/>
      <c r="G124"/>
      <c r="H124"/>
      <c r="I124"/>
      <c r="J124"/>
      <c r="K124"/>
      <c r="L124"/>
      <c r="M124"/>
      <c r="N124"/>
      <c r="O124"/>
      <c r="P124"/>
      <c r="Q124"/>
      <c r="R124"/>
      <c r="S124"/>
      <c r="T124" s="13"/>
    </row>
    <row r="125" spans="1:20" s="22" customFormat="1" ht="15.75">
      <c r="A125"/>
      <c r="B125" s="50"/>
      <c r="C125" s="13"/>
      <c r="D125" s="13"/>
      <c r="E125"/>
      <c r="F125"/>
      <c r="G125"/>
      <c r="H125"/>
      <c r="I125"/>
      <c r="J125"/>
      <c r="K125"/>
      <c r="L125"/>
      <c r="M125"/>
      <c r="N125"/>
      <c r="O125"/>
      <c r="P125"/>
      <c r="Q125"/>
      <c r="R125"/>
      <c r="S125"/>
      <c r="T125" s="13"/>
    </row>
    <row r="126" spans="1:20" s="40" customFormat="1" ht="15.75">
      <c r="A126"/>
      <c r="B126" s="50"/>
      <c r="C126" s="13"/>
      <c r="D126" s="13"/>
      <c r="E126"/>
      <c r="F126"/>
      <c r="G126"/>
      <c r="H126"/>
      <c r="I126"/>
      <c r="J126"/>
      <c r="K126"/>
      <c r="L126"/>
      <c r="M126"/>
      <c r="N126"/>
      <c r="O126"/>
      <c r="P126"/>
      <c r="Q126"/>
      <c r="R126"/>
      <c r="S126"/>
      <c r="T126" s="13"/>
    </row>
    <row r="127" spans="1:20" s="39" customFormat="1" ht="15.75">
      <c r="A127"/>
      <c r="B127" s="50"/>
      <c r="C127" s="13"/>
      <c r="D127" s="13"/>
      <c r="E127"/>
      <c r="F127"/>
      <c r="G127"/>
      <c r="H127"/>
      <c r="I127"/>
      <c r="J127"/>
      <c r="K127"/>
      <c r="L127"/>
      <c r="M127"/>
      <c r="N127"/>
      <c r="O127"/>
      <c r="P127"/>
      <c r="Q127"/>
      <c r="R127"/>
      <c r="S127"/>
      <c r="T127" s="13"/>
    </row>
    <row r="128" spans="1:20" s="22" customFormat="1" ht="15.75">
      <c r="A128"/>
      <c r="B128" s="50"/>
      <c r="C128" s="13"/>
      <c r="D128" s="13"/>
      <c r="E128"/>
      <c r="F128"/>
      <c r="G128"/>
      <c r="H128"/>
      <c r="I128"/>
      <c r="J128"/>
      <c r="K128"/>
      <c r="L128"/>
      <c r="M128"/>
      <c r="N128"/>
      <c r="O128"/>
      <c r="P128"/>
      <c r="Q128"/>
      <c r="R128"/>
      <c r="S128"/>
      <c r="T128" s="13"/>
    </row>
    <row r="129" spans="1:20" s="22" customFormat="1" ht="15.75">
      <c r="A129"/>
      <c r="B129" s="50"/>
      <c r="C129" s="13"/>
      <c r="D129" s="13"/>
      <c r="E129"/>
      <c r="F129"/>
      <c r="G129"/>
      <c r="H129"/>
      <c r="I129"/>
      <c r="J129"/>
      <c r="K129"/>
      <c r="L129"/>
      <c r="M129"/>
      <c r="N129"/>
      <c r="O129"/>
      <c r="P129"/>
      <c r="Q129"/>
      <c r="R129"/>
      <c r="S129"/>
      <c r="T129" s="13"/>
    </row>
    <row r="130" spans="1:20" s="39" customFormat="1" ht="15.75">
      <c r="A130"/>
      <c r="B130" s="50"/>
      <c r="C130" s="13"/>
      <c r="D130" s="13"/>
      <c r="E130"/>
      <c r="F130"/>
      <c r="G130"/>
      <c r="H130"/>
      <c r="I130"/>
      <c r="J130"/>
      <c r="K130"/>
      <c r="L130"/>
      <c r="M130"/>
      <c r="N130"/>
      <c r="O130"/>
      <c r="P130"/>
      <c r="Q130"/>
      <c r="R130"/>
      <c r="S130"/>
      <c r="T130" s="13"/>
    </row>
    <row r="131" spans="1:20" s="22" customFormat="1" ht="15.75">
      <c r="A131"/>
      <c r="B131" s="50"/>
      <c r="C131" s="13"/>
      <c r="D131" s="13"/>
      <c r="E131"/>
      <c r="F131"/>
      <c r="G131"/>
      <c r="H131"/>
      <c r="I131"/>
      <c r="J131"/>
      <c r="K131"/>
      <c r="L131"/>
      <c r="M131"/>
      <c r="N131"/>
      <c r="O131"/>
      <c r="P131"/>
      <c r="Q131"/>
      <c r="R131"/>
      <c r="S131"/>
      <c r="T131" s="13"/>
    </row>
    <row r="132" spans="1:20" s="22" customFormat="1" ht="15.75">
      <c r="A132"/>
      <c r="B132" s="50"/>
      <c r="C132" s="13"/>
      <c r="D132" s="13"/>
      <c r="E132"/>
      <c r="F132"/>
      <c r="G132"/>
      <c r="H132"/>
      <c r="I132"/>
      <c r="J132"/>
      <c r="K132"/>
      <c r="L132"/>
      <c r="M132"/>
      <c r="N132"/>
      <c r="O132"/>
      <c r="P132"/>
      <c r="Q132"/>
      <c r="R132"/>
      <c r="S132"/>
      <c r="T132" s="13"/>
    </row>
    <row r="133" spans="1:20" s="22" customFormat="1" ht="15.75">
      <c r="A133"/>
      <c r="B133" s="50"/>
      <c r="C133" s="13"/>
      <c r="D133" s="13"/>
      <c r="E133"/>
      <c r="F133"/>
      <c r="G133"/>
      <c r="H133"/>
      <c r="I133"/>
      <c r="J133"/>
      <c r="K133"/>
      <c r="L133"/>
      <c r="M133"/>
      <c r="N133"/>
      <c r="O133"/>
      <c r="P133"/>
      <c r="Q133"/>
      <c r="R133"/>
      <c r="S133"/>
      <c r="T133" s="13"/>
    </row>
    <row r="134" spans="1:20" s="22" customFormat="1" ht="15.75">
      <c r="A134"/>
      <c r="B134" s="50"/>
      <c r="C134" s="13"/>
      <c r="D134" s="13"/>
      <c r="E134"/>
      <c r="F134"/>
      <c r="G134"/>
      <c r="H134"/>
      <c r="I134"/>
      <c r="J134"/>
      <c r="K134"/>
      <c r="L134"/>
      <c r="M134"/>
      <c r="N134"/>
      <c r="O134"/>
      <c r="P134"/>
      <c r="Q134"/>
      <c r="R134"/>
      <c r="S134"/>
      <c r="T134" s="13"/>
    </row>
    <row r="135" spans="1:20" s="39" customFormat="1" ht="15.75">
      <c r="A135"/>
      <c r="B135" s="50"/>
      <c r="C135" s="13"/>
      <c r="D135" s="13"/>
      <c r="E135"/>
      <c r="F135"/>
      <c r="G135"/>
      <c r="H135"/>
      <c r="I135"/>
      <c r="J135"/>
      <c r="K135"/>
      <c r="L135"/>
      <c r="M135"/>
      <c r="N135"/>
      <c r="O135"/>
      <c r="P135"/>
      <c r="Q135"/>
      <c r="R135"/>
      <c r="S135"/>
      <c r="T135" s="13"/>
    </row>
    <row r="136" spans="1:20" s="22" customFormat="1" ht="15.75">
      <c r="A136"/>
      <c r="B136" s="50"/>
      <c r="C136" s="13"/>
      <c r="D136" s="13"/>
      <c r="E136"/>
      <c r="F136"/>
      <c r="G136"/>
      <c r="H136"/>
      <c r="I136"/>
      <c r="J136"/>
      <c r="K136"/>
      <c r="L136"/>
      <c r="M136"/>
      <c r="N136"/>
      <c r="O136"/>
      <c r="P136"/>
      <c r="Q136"/>
      <c r="R136"/>
      <c r="S136"/>
      <c r="T136" s="13"/>
    </row>
    <row r="137" spans="1:20" s="22" customFormat="1" ht="15.75">
      <c r="A137"/>
      <c r="B137" s="50"/>
      <c r="C137" s="13"/>
      <c r="D137" s="13"/>
      <c r="E137"/>
      <c r="F137"/>
      <c r="G137"/>
      <c r="H137"/>
      <c r="I137"/>
      <c r="J137"/>
      <c r="K137"/>
      <c r="L137"/>
      <c r="M137"/>
      <c r="N137"/>
      <c r="O137"/>
      <c r="P137"/>
      <c r="Q137"/>
      <c r="R137"/>
      <c r="S137"/>
      <c r="T137" s="13"/>
    </row>
    <row r="138" spans="1:20" s="22" customFormat="1" ht="15.75">
      <c r="A138"/>
      <c r="B138" s="50"/>
      <c r="C138" s="13"/>
      <c r="D138" s="13"/>
      <c r="E138"/>
      <c r="F138"/>
      <c r="G138"/>
      <c r="H138"/>
      <c r="I138"/>
      <c r="J138"/>
      <c r="K138"/>
      <c r="L138"/>
      <c r="M138"/>
      <c r="N138"/>
      <c r="O138"/>
      <c r="P138"/>
      <c r="Q138"/>
      <c r="R138"/>
      <c r="S138"/>
      <c r="T138" s="13"/>
    </row>
    <row r="139" spans="1:20" s="22" customFormat="1" ht="15.75">
      <c r="A139"/>
      <c r="B139" s="50"/>
      <c r="C139" s="13"/>
      <c r="D139" s="13"/>
      <c r="E139"/>
      <c r="F139"/>
      <c r="G139"/>
      <c r="H139"/>
      <c r="I139"/>
      <c r="J139"/>
      <c r="K139"/>
      <c r="L139"/>
      <c r="M139"/>
      <c r="N139"/>
      <c r="O139"/>
      <c r="P139"/>
      <c r="Q139"/>
      <c r="R139"/>
      <c r="S139"/>
      <c r="T139" s="13"/>
    </row>
    <row r="140" spans="1:20" s="22" customFormat="1" ht="15.75">
      <c r="A140"/>
      <c r="B140" s="50"/>
      <c r="C140" s="13"/>
      <c r="D140" s="13"/>
      <c r="E140"/>
      <c r="F140"/>
      <c r="G140"/>
      <c r="H140"/>
      <c r="I140"/>
      <c r="J140"/>
      <c r="K140"/>
      <c r="L140"/>
      <c r="M140"/>
      <c r="N140"/>
      <c r="O140"/>
      <c r="P140"/>
      <c r="Q140"/>
      <c r="R140"/>
      <c r="S140"/>
      <c r="T140" s="13"/>
    </row>
    <row r="141" spans="1:20" s="22" customFormat="1" ht="15.75">
      <c r="A141"/>
      <c r="B141" s="50"/>
      <c r="C141" s="13"/>
      <c r="D141" s="13"/>
      <c r="E141"/>
      <c r="F141"/>
      <c r="G141"/>
      <c r="H141"/>
      <c r="I141"/>
      <c r="J141"/>
      <c r="K141"/>
      <c r="L141"/>
      <c r="M141"/>
      <c r="N141"/>
      <c r="O141"/>
      <c r="P141"/>
      <c r="Q141"/>
      <c r="R141"/>
      <c r="S141"/>
      <c r="T141" s="13"/>
    </row>
    <row r="142" spans="1:20" s="39" customFormat="1" ht="15.75">
      <c r="A142"/>
      <c r="B142" s="50"/>
      <c r="C142" s="13"/>
      <c r="D142" s="13"/>
      <c r="E142"/>
      <c r="F142"/>
      <c r="G142"/>
      <c r="H142"/>
      <c r="I142"/>
      <c r="J142"/>
      <c r="K142"/>
      <c r="L142"/>
      <c r="M142"/>
      <c r="N142"/>
      <c r="O142"/>
      <c r="P142"/>
      <c r="Q142"/>
      <c r="R142"/>
      <c r="S142"/>
      <c r="T142" s="13"/>
    </row>
    <row r="143" spans="1:20" s="22" customFormat="1" ht="15.75">
      <c r="A143"/>
      <c r="B143" s="50"/>
      <c r="C143" s="13"/>
      <c r="D143" s="13"/>
      <c r="E143"/>
      <c r="F143"/>
      <c r="G143"/>
      <c r="H143"/>
      <c r="I143"/>
      <c r="J143"/>
      <c r="K143"/>
      <c r="L143"/>
      <c r="M143"/>
      <c r="N143"/>
      <c r="O143"/>
      <c r="P143"/>
      <c r="Q143"/>
      <c r="R143"/>
      <c r="S143"/>
      <c r="T143" s="13"/>
    </row>
    <row r="144" spans="1:20" s="38" customFormat="1" ht="15.75">
      <c r="A144"/>
      <c r="B144" s="50"/>
      <c r="C144" s="13"/>
      <c r="D144" s="13"/>
      <c r="E144"/>
      <c r="F144"/>
      <c r="G144"/>
      <c r="H144"/>
      <c r="I144"/>
      <c r="J144"/>
      <c r="K144"/>
      <c r="L144"/>
      <c r="M144"/>
      <c r="N144"/>
      <c r="O144"/>
      <c r="P144"/>
      <c r="Q144"/>
      <c r="R144"/>
      <c r="S144"/>
      <c r="T144" s="13"/>
    </row>
    <row r="145" spans="1:20" s="39" customFormat="1" ht="15.75">
      <c r="A145"/>
      <c r="B145" s="50"/>
      <c r="C145" s="13"/>
      <c r="D145" s="13"/>
      <c r="E145"/>
      <c r="F145"/>
      <c r="G145"/>
      <c r="H145"/>
      <c r="I145"/>
      <c r="J145"/>
      <c r="K145"/>
      <c r="L145"/>
      <c r="M145"/>
      <c r="N145"/>
      <c r="O145"/>
      <c r="P145"/>
      <c r="Q145"/>
      <c r="R145"/>
      <c r="S145"/>
      <c r="T145" s="13"/>
    </row>
    <row r="146" spans="2:20" s="39" customFormat="1" ht="28.5" customHeight="1">
      <c r="B146" s="51"/>
      <c r="T146" s="40"/>
    </row>
    <row r="147" spans="5:19" ht="15.75">
      <c r="E147"/>
      <c r="F147"/>
      <c r="G147"/>
      <c r="H147"/>
      <c r="I147"/>
      <c r="J147"/>
      <c r="K147"/>
      <c r="L147"/>
      <c r="M147"/>
      <c r="N147"/>
      <c r="O147"/>
      <c r="P147"/>
      <c r="Q147"/>
      <c r="R147"/>
      <c r="S147"/>
    </row>
    <row r="148" spans="5:19" ht="15.75">
      <c r="E148"/>
      <c r="F148"/>
      <c r="G148"/>
      <c r="H148"/>
      <c r="I148"/>
      <c r="J148"/>
      <c r="K148"/>
      <c r="L148"/>
      <c r="M148"/>
      <c r="N148"/>
      <c r="O148"/>
      <c r="P148"/>
      <c r="Q148"/>
      <c r="R148"/>
      <c r="S148"/>
    </row>
    <row r="149" spans="5:19" ht="15.75">
      <c r="E149"/>
      <c r="F149"/>
      <c r="G149"/>
      <c r="H149"/>
      <c r="I149"/>
      <c r="J149"/>
      <c r="K149"/>
      <c r="L149"/>
      <c r="M149"/>
      <c r="N149"/>
      <c r="O149"/>
      <c r="P149"/>
      <c r="Q149"/>
      <c r="R149"/>
      <c r="S149"/>
    </row>
    <row r="150" spans="5:19" ht="15.75">
      <c r="E150"/>
      <c r="F150"/>
      <c r="G150"/>
      <c r="H150"/>
      <c r="I150"/>
      <c r="J150"/>
      <c r="K150"/>
      <c r="L150"/>
      <c r="M150"/>
      <c r="N150"/>
      <c r="O150"/>
      <c r="P150"/>
      <c r="Q150"/>
      <c r="R150"/>
      <c r="S150"/>
    </row>
    <row r="151" spans="5:19" ht="15.75">
      <c r="E151"/>
      <c r="F151"/>
      <c r="G151"/>
      <c r="H151"/>
      <c r="I151"/>
      <c r="J151"/>
      <c r="K151"/>
      <c r="L151"/>
      <c r="M151"/>
      <c r="N151"/>
      <c r="O151"/>
      <c r="P151"/>
      <c r="Q151"/>
      <c r="R151"/>
      <c r="S151"/>
    </row>
    <row r="152" spans="5:19" ht="15.75">
      <c r="E152"/>
      <c r="F152"/>
      <c r="G152"/>
      <c r="H152"/>
      <c r="I152"/>
      <c r="J152"/>
      <c r="K152"/>
      <c r="L152"/>
      <c r="M152"/>
      <c r="N152"/>
      <c r="O152"/>
      <c r="P152"/>
      <c r="Q152"/>
      <c r="R152"/>
      <c r="S152"/>
    </row>
    <row r="153" spans="5:19" ht="15.75">
      <c r="E153"/>
      <c r="F153"/>
      <c r="G153"/>
      <c r="H153"/>
      <c r="I153"/>
      <c r="J153"/>
      <c r="K153"/>
      <c r="L153"/>
      <c r="M153"/>
      <c r="N153"/>
      <c r="O153"/>
      <c r="P153"/>
      <c r="Q153"/>
      <c r="R153"/>
      <c r="S153"/>
    </row>
    <row r="154" spans="5:19" ht="15.75">
      <c r="E154"/>
      <c r="F154"/>
      <c r="G154"/>
      <c r="H154"/>
      <c r="I154"/>
      <c r="J154"/>
      <c r="K154"/>
      <c r="L154"/>
      <c r="M154"/>
      <c r="N154"/>
      <c r="O154"/>
      <c r="P154"/>
      <c r="Q154"/>
      <c r="R154"/>
      <c r="S154"/>
    </row>
    <row r="155" spans="5:19" ht="15.75">
      <c r="E155"/>
      <c r="F155"/>
      <c r="G155"/>
      <c r="H155"/>
      <c r="I155"/>
      <c r="J155"/>
      <c r="K155"/>
      <c r="L155"/>
      <c r="M155"/>
      <c r="N155"/>
      <c r="O155"/>
      <c r="P155"/>
      <c r="Q155"/>
      <c r="R155"/>
      <c r="S155"/>
    </row>
    <row r="156" spans="5:19" ht="15.75">
      <c r="E156"/>
      <c r="F156"/>
      <c r="G156"/>
      <c r="H156"/>
      <c r="I156"/>
      <c r="J156"/>
      <c r="K156"/>
      <c r="L156"/>
      <c r="M156"/>
      <c r="N156"/>
      <c r="O156"/>
      <c r="P156"/>
      <c r="Q156"/>
      <c r="R156"/>
      <c r="S156"/>
    </row>
    <row r="157" spans="5:19" ht="15.75">
      <c r="E157"/>
      <c r="F157"/>
      <c r="G157"/>
      <c r="H157"/>
      <c r="I157"/>
      <c r="J157"/>
      <c r="K157"/>
      <c r="L157"/>
      <c r="M157"/>
      <c r="N157"/>
      <c r="O157"/>
      <c r="P157"/>
      <c r="Q157"/>
      <c r="R157"/>
      <c r="S157"/>
    </row>
    <row r="158" spans="5:19" ht="15.75">
      <c r="E158"/>
      <c r="F158"/>
      <c r="G158"/>
      <c r="H158"/>
      <c r="I158"/>
      <c r="J158"/>
      <c r="K158"/>
      <c r="L158"/>
      <c r="M158"/>
      <c r="N158"/>
      <c r="O158"/>
      <c r="P158"/>
      <c r="Q158"/>
      <c r="R158"/>
      <c r="S158"/>
    </row>
    <row r="159" spans="5:19" ht="15.75">
      <c r="E159"/>
      <c r="F159"/>
      <c r="G159"/>
      <c r="H159"/>
      <c r="I159"/>
      <c r="J159"/>
      <c r="K159"/>
      <c r="L159"/>
      <c r="M159"/>
      <c r="N159"/>
      <c r="O159"/>
      <c r="P159"/>
      <c r="Q159"/>
      <c r="R159"/>
      <c r="S159"/>
    </row>
    <row r="160" spans="5:19" ht="15.75">
      <c r="E160"/>
      <c r="F160"/>
      <c r="G160"/>
      <c r="H160"/>
      <c r="I160"/>
      <c r="J160"/>
      <c r="K160"/>
      <c r="L160"/>
      <c r="M160"/>
      <c r="N160"/>
      <c r="O160"/>
      <c r="P160"/>
      <c r="Q160"/>
      <c r="R160"/>
      <c r="S160"/>
    </row>
    <row r="161" spans="5:19" ht="15.75">
      <c r="E161"/>
      <c r="F161"/>
      <c r="G161"/>
      <c r="H161"/>
      <c r="I161"/>
      <c r="J161"/>
      <c r="K161"/>
      <c r="L161"/>
      <c r="M161"/>
      <c r="N161"/>
      <c r="O161"/>
      <c r="P161"/>
      <c r="Q161"/>
      <c r="R161"/>
      <c r="S161"/>
    </row>
    <row r="162" spans="5:19" ht="15.75">
      <c r="E162"/>
      <c r="F162"/>
      <c r="G162"/>
      <c r="H162"/>
      <c r="I162"/>
      <c r="J162"/>
      <c r="K162"/>
      <c r="L162"/>
      <c r="M162"/>
      <c r="N162"/>
      <c r="O162"/>
      <c r="P162"/>
      <c r="Q162"/>
      <c r="R162"/>
      <c r="S162"/>
    </row>
    <row r="163" spans="5:19" ht="15.75">
      <c r="E163"/>
      <c r="F163"/>
      <c r="G163"/>
      <c r="H163"/>
      <c r="I163"/>
      <c r="J163"/>
      <c r="K163"/>
      <c r="L163"/>
      <c r="M163"/>
      <c r="N163"/>
      <c r="O163"/>
      <c r="P163"/>
      <c r="Q163"/>
      <c r="R163"/>
      <c r="S163"/>
    </row>
    <row r="164" spans="5:19" ht="15.75">
      <c r="E164"/>
      <c r="F164"/>
      <c r="G164"/>
      <c r="H164"/>
      <c r="I164"/>
      <c r="J164"/>
      <c r="K164"/>
      <c r="L164"/>
      <c r="M164"/>
      <c r="N164"/>
      <c r="O164"/>
      <c r="P164"/>
      <c r="Q164"/>
      <c r="R164"/>
      <c r="S164"/>
    </row>
    <row r="165" spans="5:19" ht="15.75">
      <c r="E165"/>
      <c r="F165"/>
      <c r="G165"/>
      <c r="H165"/>
      <c r="I165"/>
      <c r="J165"/>
      <c r="K165"/>
      <c r="L165"/>
      <c r="M165"/>
      <c r="N165"/>
      <c r="O165"/>
      <c r="P165"/>
      <c r="Q165"/>
      <c r="R165"/>
      <c r="S165"/>
    </row>
    <row r="166" spans="5:19" ht="15.75">
      <c r="E166"/>
      <c r="F166"/>
      <c r="G166"/>
      <c r="H166"/>
      <c r="I166"/>
      <c r="J166"/>
      <c r="K166"/>
      <c r="L166"/>
      <c r="M166"/>
      <c r="N166"/>
      <c r="O166"/>
      <c r="P166"/>
      <c r="Q166"/>
      <c r="R166"/>
      <c r="S166"/>
    </row>
    <row r="167" spans="5:19" ht="15.75">
      <c r="E167"/>
      <c r="F167"/>
      <c r="G167"/>
      <c r="H167"/>
      <c r="I167"/>
      <c r="J167"/>
      <c r="K167"/>
      <c r="L167"/>
      <c r="M167"/>
      <c r="N167"/>
      <c r="O167"/>
      <c r="P167"/>
      <c r="Q167"/>
      <c r="R167"/>
      <c r="S167"/>
    </row>
    <row r="168" spans="5:19" ht="15.75">
      <c r="E168"/>
      <c r="F168"/>
      <c r="G168"/>
      <c r="H168"/>
      <c r="I168"/>
      <c r="J168"/>
      <c r="K168"/>
      <c r="L168"/>
      <c r="M168"/>
      <c r="N168"/>
      <c r="O168"/>
      <c r="P168"/>
      <c r="Q168"/>
      <c r="R168"/>
      <c r="S168"/>
    </row>
    <row r="169" spans="5:19" ht="15.75">
      <c r="E169"/>
      <c r="F169"/>
      <c r="G169"/>
      <c r="H169"/>
      <c r="I169"/>
      <c r="J169"/>
      <c r="K169"/>
      <c r="L169"/>
      <c r="M169"/>
      <c r="N169"/>
      <c r="O169"/>
      <c r="P169"/>
      <c r="Q169"/>
      <c r="R169"/>
      <c r="S169"/>
    </row>
    <row r="170" spans="5:19" ht="15.75">
      <c r="E170"/>
      <c r="F170"/>
      <c r="G170"/>
      <c r="H170"/>
      <c r="I170"/>
      <c r="J170"/>
      <c r="K170"/>
      <c r="L170"/>
      <c r="M170"/>
      <c r="N170"/>
      <c r="O170"/>
      <c r="P170"/>
      <c r="Q170"/>
      <c r="R170"/>
      <c r="S170"/>
    </row>
    <row r="171" spans="5:19" ht="15.75">
      <c r="E171"/>
      <c r="F171"/>
      <c r="G171"/>
      <c r="H171"/>
      <c r="I171"/>
      <c r="J171"/>
      <c r="K171"/>
      <c r="L171"/>
      <c r="M171"/>
      <c r="N171"/>
      <c r="O171"/>
      <c r="P171"/>
      <c r="Q171"/>
      <c r="R171"/>
      <c r="S171"/>
    </row>
    <row r="172" spans="5:19" ht="15.75">
      <c r="E172"/>
      <c r="F172"/>
      <c r="G172"/>
      <c r="H172"/>
      <c r="I172"/>
      <c r="J172"/>
      <c r="K172"/>
      <c r="L172"/>
      <c r="M172"/>
      <c r="N172"/>
      <c r="O172"/>
      <c r="P172"/>
      <c r="Q172"/>
      <c r="R172"/>
      <c r="S172"/>
    </row>
    <row r="173" spans="5:19" ht="15.75">
      <c r="E173"/>
      <c r="F173"/>
      <c r="G173"/>
      <c r="H173"/>
      <c r="I173"/>
      <c r="J173"/>
      <c r="K173"/>
      <c r="L173"/>
      <c r="M173"/>
      <c r="N173"/>
      <c r="O173"/>
      <c r="P173"/>
      <c r="Q173"/>
      <c r="R173"/>
      <c r="S173"/>
    </row>
    <row r="174" spans="5:19" ht="15.75">
      <c r="E174"/>
      <c r="F174"/>
      <c r="G174"/>
      <c r="H174"/>
      <c r="I174"/>
      <c r="J174"/>
      <c r="K174"/>
      <c r="L174"/>
      <c r="M174"/>
      <c r="N174"/>
      <c r="O174"/>
      <c r="P174"/>
      <c r="Q174"/>
      <c r="R174"/>
      <c r="S174"/>
    </row>
    <row r="175" spans="5:19" ht="15.75">
      <c r="E175"/>
      <c r="F175"/>
      <c r="G175"/>
      <c r="H175"/>
      <c r="I175"/>
      <c r="J175"/>
      <c r="K175"/>
      <c r="L175"/>
      <c r="M175"/>
      <c r="N175"/>
      <c r="O175"/>
      <c r="P175"/>
      <c r="Q175"/>
      <c r="R175"/>
      <c r="S175"/>
    </row>
    <row r="176" spans="5:19" ht="15.75">
      <c r="E176"/>
      <c r="F176"/>
      <c r="G176"/>
      <c r="H176"/>
      <c r="I176"/>
      <c r="J176"/>
      <c r="K176"/>
      <c r="L176"/>
      <c r="M176"/>
      <c r="N176"/>
      <c r="O176"/>
      <c r="P176"/>
      <c r="Q176"/>
      <c r="R176"/>
      <c r="S176"/>
    </row>
    <row r="177" spans="5:19" ht="15.75">
      <c r="E177"/>
      <c r="F177"/>
      <c r="G177"/>
      <c r="H177"/>
      <c r="I177"/>
      <c r="J177"/>
      <c r="K177"/>
      <c r="L177"/>
      <c r="M177"/>
      <c r="N177"/>
      <c r="O177"/>
      <c r="P177"/>
      <c r="Q177"/>
      <c r="R177"/>
      <c r="S177"/>
    </row>
    <row r="178" spans="5:19" ht="15.75">
      <c r="E178"/>
      <c r="F178"/>
      <c r="G178"/>
      <c r="H178"/>
      <c r="I178"/>
      <c r="J178"/>
      <c r="K178"/>
      <c r="L178"/>
      <c r="M178"/>
      <c r="N178"/>
      <c r="O178"/>
      <c r="P178"/>
      <c r="Q178"/>
      <c r="R178"/>
      <c r="S178"/>
    </row>
    <row r="179" spans="5:19" ht="15.75">
      <c r="E179"/>
      <c r="F179"/>
      <c r="G179"/>
      <c r="H179"/>
      <c r="I179"/>
      <c r="J179"/>
      <c r="K179"/>
      <c r="L179"/>
      <c r="M179"/>
      <c r="N179"/>
      <c r="O179"/>
      <c r="P179"/>
      <c r="Q179"/>
      <c r="R179"/>
      <c r="S179"/>
    </row>
    <row r="180" spans="5:19" ht="15.75">
      <c r="E180"/>
      <c r="F180"/>
      <c r="G180"/>
      <c r="H180"/>
      <c r="I180"/>
      <c r="J180"/>
      <c r="K180"/>
      <c r="L180"/>
      <c r="M180"/>
      <c r="N180"/>
      <c r="O180"/>
      <c r="P180"/>
      <c r="Q180"/>
      <c r="R180"/>
      <c r="S180"/>
    </row>
    <row r="181" spans="5:19" ht="15.75">
      <c r="E181"/>
      <c r="F181"/>
      <c r="G181"/>
      <c r="H181"/>
      <c r="I181"/>
      <c r="J181"/>
      <c r="K181"/>
      <c r="L181"/>
      <c r="M181"/>
      <c r="N181"/>
      <c r="O181"/>
      <c r="P181"/>
      <c r="Q181"/>
      <c r="R181"/>
      <c r="S181"/>
    </row>
    <row r="182" spans="5:19" ht="15.75">
      <c r="E182"/>
      <c r="F182"/>
      <c r="G182"/>
      <c r="H182"/>
      <c r="I182"/>
      <c r="J182"/>
      <c r="K182"/>
      <c r="L182"/>
      <c r="M182"/>
      <c r="N182"/>
      <c r="O182"/>
      <c r="P182"/>
      <c r="Q182"/>
      <c r="R182"/>
      <c r="S182"/>
    </row>
    <row r="183" spans="5:19" ht="15.75">
      <c r="E183"/>
      <c r="F183"/>
      <c r="G183"/>
      <c r="H183"/>
      <c r="I183"/>
      <c r="J183"/>
      <c r="K183"/>
      <c r="L183"/>
      <c r="M183"/>
      <c r="N183"/>
      <c r="O183"/>
      <c r="P183"/>
      <c r="Q183"/>
      <c r="R183"/>
      <c r="S183"/>
    </row>
    <row r="184" spans="5:19" ht="15.75">
      <c r="E184"/>
      <c r="F184"/>
      <c r="G184"/>
      <c r="H184"/>
      <c r="I184"/>
      <c r="J184"/>
      <c r="K184"/>
      <c r="L184"/>
      <c r="M184"/>
      <c r="N184"/>
      <c r="O184"/>
      <c r="P184"/>
      <c r="Q184"/>
      <c r="R184"/>
      <c r="S184"/>
    </row>
    <row r="185" spans="5:19" ht="15.75">
      <c r="E185"/>
      <c r="F185"/>
      <c r="G185"/>
      <c r="H185"/>
      <c r="I185"/>
      <c r="J185"/>
      <c r="K185"/>
      <c r="L185"/>
      <c r="M185"/>
      <c r="N185"/>
      <c r="O185"/>
      <c r="P185"/>
      <c r="Q185"/>
      <c r="R185"/>
      <c r="S185"/>
    </row>
    <row r="186" spans="5:19" ht="15.75">
      <c r="E186"/>
      <c r="F186"/>
      <c r="G186"/>
      <c r="H186"/>
      <c r="I186"/>
      <c r="J186"/>
      <c r="K186"/>
      <c r="L186"/>
      <c r="M186"/>
      <c r="N186"/>
      <c r="O186"/>
      <c r="P186"/>
      <c r="Q186"/>
      <c r="R186"/>
      <c r="S186"/>
    </row>
    <row r="187" spans="5:19" ht="15.75">
      <c r="E187"/>
      <c r="F187"/>
      <c r="G187"/>
      <c r="H187"/>
      <c r="I187"/>
      <c r="J187"/>
      <c r="K187"/>
      <c r="L187"/>
      <c r="M187"/>
      <c r="N187"/>
      <c r="O187"/>
      <c r="P187"/>
      <c r="Q187"/>
      <c r="R187"/>
      <c r="S187"/>
    </row>
    <row r="188" spans="5:19" ht="15.75">
      <c r="E188"/>
      <c r="F188"/>
      <c r="G188"/>
      <c r="H188"/>
      <c r="I188"/>
      <c r="J188"/>
      <c r="K188"/>
      <c r="L188"/>
      <c r="M188"/>
      <c r="N188"/>
      <c r="O188"/>
      <c r="P188"/>
      <c r="Q188"/>
      <c r="R188"/>
      <c r="S188"/>
    </row>
    <row r="189" spans="5:19" ht="15.75">
      <c r="E189"/>
      <c r="F189"/>
      <c r="G189"/>
      <c r="H189"/>
      <c r="I189"/>
      <c r="J189"/>
      <c r="K189"/>
      <c r="L189"/>
      <c r="M189"/>
      <c r="N189"/>
      <c r="O189"/>
      <c r="P189"/>
      <c r="Q189"/>
      <c r="R189"/>
      <c r="S189"/>
    </row>
    <row r="190" spans="5:19" ht="15.75">
      <c r="E190"/>
      <c r="F190"/>
      <c r="G190"/>
      <c r="H190"/>
      <c r="I190"/>
      <c r="J190"/>
      <c r="K190"/>
      <c r="L190"/>
      <c r="M190"/>
      <c r="N190"/>
      <c r="O190"/>
      <c r="P190"/>
      <c r="Q190"/>
      <c r="R190"/>
      <c r="S190"/>
    </row>
    <row r="191" spans="5:19" ht="15.75">
      <c r="E191"/>
      <c r="F191"/>
      <c r="G191"/>
      <c r="H191"/>
      <c r="I191"/>
      <c r="J191"/>
      <c r="K191"/>
      <c r="L191"/>
      <c r="M191"/>
      <c r="N191"/>
      <c r="O191"/>
      <c r="P191"/>
      <c r="Q191"/>
      <c r="R191"/>
      <c r="S191"/>
    </row>
    <row r="192" spans="5:19" ht="15.75">
      <c r="E192"/>
      <c r="F192"/>
      <c r="G192"/>
      <c r="H192"/>
      <c r="I192"/>
      <c r="J192"/>
      <c r="K192"/>
      <c r="L192"/>
      <c r="M192"/>
      <c r="N192"/>
      <c r="O192"/>
      <c r="P192"/>
      <c r="Q192"/>
      <c r="R192"/>
      <c r="S192"/>
    </row>
    <row r="193" spans="5:19" ht="15.75">
      <c r="E193"/>
      <c r="F193"/>
      <c r="G193"/>
      <c r="H193"/>
      <c r="I193"/>
      <c r="J193"/>
      <c r="K193"/>
      <c r="L193"/>
      <c r="M193"/>
      <c r="N193"/>
      <c r="O193"/>
      <c r="P193"/>
      <c r="Q193"/>
      <c r="R193"/>
      <c r="S193"/>
    </row>
    <row r="194" spans="5:19" ht="15.75">
      <c r="E194"/>
      <c r="F194"/>
      <c r="G194"/>
      <c r="H194"/>
      <c r="I194"/>
      <c r="J194"/>
      <c r="K194"/>
      <c r="L194"/>
      <c r="M194"/>
      <c r="N194"/>
      <c r="O194"/>
      <c r="P194"/>
      <c r="Q194"/>
      <c r="R194"/>
      <c r="S194"/>
    </row>
    <row r="195" spans="5:19" ht="15.75">
      <c r="E195"/>
      <c r="F195"/>
      <c r="G195"/>
      <c r="H195"/>
      <c r="I195"/>
      <c r="J195"/>
      <c r="K195"/>
      <c r="L195"/>
      <c r="M195"/>
      <c r="N195"/>
      <c r="O195"/>
      <c r="P195"/>
      <c r="Q195"/>
      <c r="R195"/>
      <c r="S195"/>
    </row>
    <row r="196" spans="5:19" ht="15.75">
      <c r="E196"/>
      <c r="F196"/>
      <c r="G196"/>
      <c r="H196"/>
      <c r="I196"/>
      <c r="J196"/>
      <c r="K196"/>
      <c r="L196"/>
      <c r="M196"/>
      <c r="N196"/>
      <c r="O196"/>
      <c r="P196"/>
      <c r="Q196"/>
      <c r="R196"/>
      <c r="S196"/>
    </row>
    <row r="197" spans="5:19" ht="15.75">
      <c r="E197"/>
      <c r="F197"/>
      <c r="G197"/>
      <c r="H197"/>
      <c r="I197"/>
      <c r="J197"/>
      <c r="K197"/>
      <c r="L197"/>
      <c r="M197"/>
      <c r="N197"/>
      <c r="O197"/>
      <c r="P197"/>
      <c r="Q197"/>
      <c r="R197"/>
      <c r="S197"/>
    </row>
    <row r="198" spans="5:19" ht="15.75">
      <c r="E198"/>
      <c r="F198"/>
      <c r="G198"/>
      <c r="H198"/>
      <c r="I198"/>
      <c r="J198"/>
      <c r="K198"/>
      <c r="L198"/>
      <c r="M198"/>
      <c r="N198"/>
      <c r="O198"/>
      <c r="P198"/>
      <c r="Q198"/>
      <c r="R198"/>
      <c r="S198"/>
    </row>
    <row r="199" spans="5:19" ht="15.75">
      <c r="E199"/>
      <c r="F199"/>
      <c r="G199"/>
      <c r="H199"/>
      <c r="I199"/>
      <c r="J199"/>
      <c r="K199"/>
      <c r="L199"/>
      <c r="M199"/>
      <c r="N199"/>
      <c r="O199"/>
      <c r="P199"/>
      <c r="Q199"/>
      <c r="R199"/>
      <c r="S199"/>
    </row>
    <row r="200" spans="5:19" ht="15.75">
      <c r="E200"/>
      <c r="F200"/>
      <c r="G200"/>
      <c r="H200"/>
      <c r="I200"/>
      <c r="J200"/>
      <c r="K200"/>
      <c r="L200"/>
      <c r="M200"/>
      <c r="N200"/>
      <c r="O200"/>
      <c r="P200"/>
      <c r="Q200"/>
      <c r="R200"/>
      <c r="S200"/>
    </row>
    <row r="201" spans="5:19" ht="15.75">
      <c r="E201"/>
      <c r="F201"/>
      <c r="G201"/>
      <c r="H201"/>
      <c r="I201"/>
      <c r="J201"/>
      <c r="K201"/>
      <c r="L201"/>
      <c r="M201"/>
      <c r="N201"/>
      <c r="O201"/>
      <c r="P201"/>
      <c r="Q201"/>
      <c r="R201"/>
      <c r="S201"/>
    </row>
    <row r="202" spans="5:19" ht="15.75">
      <c r="E202"/>
      <c r="F202"/>
      <c r="G202"/>
      <c r="H202"/>
      <c r="I202"/>
      <c r="J202"/>
      <c r="K202"/>
      <c r="L202"/>
      <c r="M202"/>
      <c r="N202"/>
      <c r="O202"/>
      <c r="P202"/>
      <c r="Q202"/>
      <c r="R202"/>
      <c r="S202"/>
    </row>
    <row r="203" spans="5:19" ht="15.75">
      <c r="E203"/>
      <c r="F203"/>
      <c r="G203"/>
      <c r="H203"/>
      <c r="I203"/>
      <c r="J203"/>
      <c r="K203"/>
      <c r="L203"/>
      <c r="M203"/>
      <c r="N203"/>
      <c r="O203"/>
      <c r="P203"/>
      <c r="Q203"/>
      <c r="R203"/>
      <c r="S203"/>
    </row>
    <row r="204" spans="5:19" ht="15.75">
      <c r="E204"/>
      <c r="F204"/>
      <c r="G204"/>
      <c r="H204"/>
      <c r="I204"/>
      <c r="J204"/>
      <c r="K204"/>
      <c r="L204"/>
      <c r="M204"/>
      <c r="N204"/>
      <c r="O204"/>
      <c r="P204"/>
      <c r="Q204"/>
      <c r="R204"/>
      <c r="S204"/>
    </row>
    <row r="205" spans="5:19" ht="15.75">
      <c r="E205"/>
      <c r="F205"/>
      <c r="G205"/>
      <c r="H205"/>
      <c r="I205"/>
      <c r="J205"/>
      <c r="K205"/>
      <c r="L205"/>
      <c r="M205"/>
      <c r="N205"/>
      <c r="O205"/>
      <c r="P205"/>
      <c r="Q205"/>
      <c r="R205"/>
      <c r="S205"/>
    </row>
    <row r="206" spans="5:19" ht="15.75">
      <c r="E206"/>
      <c r="F206"/>
      <c r="G206"/>
      <c r="H206"/>
      <c r="I206"/>
      <c r="J206"/>
      <c r="K206"/>
      <c r="L206"/>
      <c r="M206"/>
      <c r="N206"/>
      <c r="O206"/>
      <c r="P206"/>
      <c r="Q206"/>
      <c r="R206"/>
      <c r="S206"/>
    </row>
    <row r="207" spans="5:19" ht="15.75">
      <c r="E207"/>
      <c r="F207"/>
      <c r="G207"/>
      <c r="H207"/>
      <c r="I207"/>
      <c r="J207"/>
      <c r="K207"/>
      <c r="L207"/>
      <c r="M207"/>
      <c r="N207"/>
      <c r="O207"/>
      <c r="P207"/>
      <c r="Q207"/>
      <c r="R207"/>
      <c r="S207"/>
    </row>
    <row r="208" spans="5:19" ht="15.75">
      <c r="E208"/>
      <c r="F208"/>
      <c r="G208"/>
      <c r="H208"/>
      <c r="I208"/>
      <c r="J208"/>
      <c r="K208"/>
      <c r="L208"/>
      <c r="M208"/>
      <c r="N208"/>
      <c r="O208"/>
      <c r="P208"/>
      <c r="Q208"/>
      <c r="R208"/>
      <c r="S208"/>
    </row>
    <row r="209" spans="5:19" ht="15.75">
      <c r="E209"/>
      <c r="F209"/>
      <c r="G209"/>
      <c r="H209"/>
      <c r="I209"/>
      <c r="J209"/>
      <c r="K209"/>
      <c r="L209"/>
      <c r="M209"/>
      <c r="N209"/>
      <c r="O209"/>
      <c r="P209"/>
      <c r="Q209"/>
      <c r="R209"/>
      <c r="S209"/>
    </row>
    <row r="210" spans="5:19" ht="15.75">
      <c r="E210"/>
      <c r="F210"/>
      <c r="G210"/>
      <c r="H210"/>
      <c r="I210"/>
      <c r="J210"/>
      <c r="K210"/>
      <c r="L210"/>
      <c r="M210"/>
      <c r="N210"/>
      <c r="O210"/>
      <c r="P210"/>
      <c r="Q210"/>
      <c r="R210"/>
      <c r="S210"/>
    </row>
    <row r="211" spans="5:19" ht="15.75">
      <c r="E211"/>
      <c r="F211"/>
      <c r="G211"/>
      <c r="H211"/>
      <c r="I211"/>
      <c r="J211"/>
      <c r="K211"/>
      <c r="L211"/>
      <c r="M211"/>
      <c r="N211"/>
      <c r="O211"/>
      <c r="P211"/>
      <c r="Q211"/>
      <c r="R211"/>
      <c r="S211"/>
    </row>
    <row r="212" spans="5:19" ht="15.75">
      <c r="E212"/>
      <c r="F212"/>
      <c r="G212"/>
      <c r="H212"/>
      <c r="I212"/>
      <c r="J212"/>
      <c r="K212"/>
      <c r="L212"/>
      <c r="M212"/>
      <c r="N212"/>
      <c r="O212"/>
      <c r="P212"/>
      <c r="Q212"/>
      <c r="R212"/>
      <c r="S212"/>
    </row>
    <row r="213" spans="5:19" ht="15.75">
      <c r="E213"/>
      <c r="F213"/>
      <c r="G213"/>
      <c r="H213"/>
      <c r="I213"/>
      <c r="J213"/>
      <c r="K213"/>
      <c r="L213"/>
      <c r="M213"/>
      <c r="N213"/>
      <c r="O213"/>
      <c r="P213"/>
      <c r="Q213"/>
      <c r="R213"/>
      <c r="S213"/>
    </row>
    <row r="214" spans="5:19" ht="15.75">
      <c r="E214"/>
      <c r="F214"/>
      <c r="G214"/>
      <c r="H214"/>
      <c r="I214"/>
      <c r="J214"/>
      <c r="K214"/>
      <c r="L214"/>
      <c r="M214"/>
      <c r="N214"/>
      <c r="O214"/>
      <c r="P214"/>
      <c r="Q214"/>
      <c r="R214"/>
      <c r="S214"/>
    </row>
    <row r="215" spans="5:19" ht="15.75">
      <c r="E215"/>
      <c r="F215"/>
      <c r="G215"/>
      <c r="H215"/>
      <c r="I215"/>
      <c r="J215"/>
      <c r="K215"/>
      <c r="L215"/>
      <c r="M215"/>
      <c r="N215"/>
      <c r="O215"/>
      <c r="P215"/>
      <c r="Q215"/>
      <c r="R215"/>
      <c r="S215"/>
    </row>
    <row r="216" spans="5:19" ht="15.75">
      <c r="E216"/>
      <c r="F216"/>
      <c r="G216"/>
      <c r="H216"/>
      <c r="I216"/>
      <c r="J216"/>
      <c r="K216"/>
      <c r="L216"/>
      <c r="M216"/>
      <c r="N216"/>
      <c r="O216"/>
      <c r="P216"/>
      <c r="Q216"/>
      <c r="R216"/>
      <c r="S216"/>
    </row>
    <row r="217" spans="5:19" ht="15.75">
      <c r="E217"/>
      <c r="F217"/>
      <c r="G217"/>
      <c r="H217"/>
      <c r="I217"/>
      <c r="J217"/>
      <c r="K217"/>
      <c r="L217"/>
      <c r="M217"/>
      <c r="N217"/>
      <c r="O217"/>
      <c r="P217"/>
      <c r="Q217"/>
      <c r="R217"/>
      <c r="S217"/>
    </row>
    <row r="218" spans="5:19" ht="15.75">
      <c r="E218"/>
      <c r="F218"/>
      <c r="G218"/>
      <c r="H218"/>
      <c r="I218"/>
      <c r="J218"/>
      <c r="K218"/>
      <c r="L218"/>
      <c r="M218"/>
      <c r="N218"/>
      <c r="O218"/>
      <c r="P218"/>
      <c r="Q218"/>
      <c r="R218"/>
      <c r="S218"/>
    </row>
    <row r="219" spans="5:19" ht="15.75">
      <c r="E219"/>
      <c r="F219"/>
      <c r="G219"/>
      <c r="H219"/>
      <c r="I219"/>
      <c r="J219"/>
      <c r="K219"/>
      <c r="L219"/>
      <c r="M219"/>
      <c r="N219"/>
      <c r="O219"/>
      <c r="P219"/>
      <c r="Q219"/>
      <c r="R219"/>
      <c r="S219"/>
    </row>
    <row r="220" spans="5:19" ht="15.75">
      <c r="E220"/>
      <c r="F220"/>
      <c r="G220"/>
      <c r="H220"/>
      <c r="I220"/>
      <c r="J220"/>
      <c r="K220"/>
      <c r="L220"/>
      <c r="M220"/>
      <c r="N220"/>
      <c r="O220"/>
      <c r="P220"/>
      <c r="Q220"/>
      <c r="R220"/>
      <c r="S220"/>
    </row>
    <row r="221" spans="5:19" ht="15.75">
      <c r="E221"/>
      <c r="F221"/>
      <c r="G221"/>
      <c r="H221"/>
      <c r="I221"/>
      <c r="J221"/>
      <c r="K221"/>
      <c r="L221"/>
      <c r="M221"/>
      <c r="N221"/>
      <c r="O221"/>
      <c r="P221"/>
      <c r="Q221"/>
      <c r="R221"/>
      <c r="S221"/>
    </row>
    <row r="222" spans="5:19" ht="15.75">
      <c r="E222"/>
      <c r="F222"/>
      <c r="G222"/>
      <c r="H222"/>
      <c r="I222"/>
      <c r="J222"/>
      <c r="K222"/>
      <c r="L222"/>
      <c r="M222"/>
      <c r="N222"/>
      <c r="O222"/>
      <c r="P222"/>
      <c r="Q222"/>
      <c r="R222"/>
      <c r="S222"/>
    </row>
    <row r="223" spans="5:19" ht="15.75">
      <c r="E223"/>
      <c r="F223"/>
      <c r="G223"/>
      <c r="H223"/>
      <c r="I223"/>
      <c r="J223"/>
      <c r="K223"/>
      <c r="L223"/>
      <c r="M223"/>
      <c r="N223"/>
      <c r="O223"/>
      <c r="P223"/>
      <c r="Q223"/>
      <c r="R223"/>
      <c r="S223"/>
    </row>
    <row r="224" spans="5:19" ht="15.75">
      <c r="E224"/>
      <c r="F224"/>
      <c r="G224"/>
      <c r="H224"/>
      <c r="I224"/>
      <c r="J224"/>
      <c r="K224"/>
      <c r="L224"/>
      <c r="M224"/>
      <c r="N224"/>
      <c r="O224"/>
      <c r="P224"/>
      <c r="Q224"/>
      <c r="R224"/>
      <c r="S224"/>
    </row>
    <row r="225" spans="5:19" ht="15.75">
      <c r="E225"/>
      <c r="F225"/>
      <c r="G225"/>
      <c r="H225"/>
      <c r="I225"/>
      <c r="J225"/>
      <c r="K225"/>
      <c r="L225"/>
      <c r="M225"/>
      <c r="N225"/>
      <c r="O225"/>
      <c r="P225"/>
      <c r="Q225"/>
      <c r="R225"/>
      <c r="S225"/>
    </row>
    <row r="226" spans="5:19" ht="15.75">
      <c r="E226"/>
      <c r="F226"/>
      <c r="G226"/>
      <c r="H226"/>
      <c r="I226"/>
      <c r="J226"/>
      <c r="K226"/>
      <c r="L226"/>
      <c r="M226"/>
      <c r="N226"/>
      <c r="O226"/>
      <c r="P226"/>
      <c r="Q226"/>
      <c r="R226"/>
      <c r="S226"/>
    </row>
    <row r="227" spans="5:19" ht="15.75">
      <c r="E227"/>
      <c r="F227"/>
      <c r="G227"/>
      <c r="H227"/>
      <c r="I227"/>
      <c r="J227"/>
      <c r="K227"/>
      <c r="L227"/>
      <c r="M227"/>
      <c r="N227"/>
      <c r="O227"/>
      <c r="P227"/>
      <c r="Q227"/>
      <c r="R227"/>
      <c r="S227"/>
    </row>
    <row r="228" spans="5:19" ht="15.75">
      <c r="E228"/>
      <c r="F228"/>
      <c r="G228"/>
      <c r="H228"/>
      <c r="I228"/>
      <c r="J228"/>
      <c r="K228"/>
      <c r="L228"/>
      <c r="M228"/>
      <c r="N228"/>
      <c r="O228"/>
      <c r="P228"/>
      <c r="Q228"/>
      <c r="R228"/>
      <c r="S228"/>
    </row>
    <row r="229" spans="5:19" ht="15.75">
      <c r="E229"/>
      <c r="F229"/>
      <c r="G229"/>
      <c r="H229"/>
      <c r="I229"/>
      <c r="J229"/>
      <c r="K229"/>
      <c r="L229"/>
      <c r="M229"/>
      <c r="N229"/>
      <c r="O229"/>
      <c r="P229"/>
      <c r="Q229"/>
      <c r="R229"/>
      <c r="S229"/>
    </row>
    <row r="230" spans="5:19" ht="15.75">
      <c r="E230"/>
      <c r="F230"/>
      <c r="G230"/>
      <c r="H230"/>
      <c r="I230"/>
      <c r="J230"/>
      <c r="K230"/>
      <c r="L230"/>
      <c r="M230"/>
      <c r="N230"/>
      <c r="O230"/>
      <c r="P230"/>
      <c r="Q230"/>
      <c r="R230"/>
      <c r="S230"/>
    </row>
    <row r="231" spans="5:19" ht="15.75">
      <c r="E231"/>
      <c r="F231"/>
      <c r="G231"/>
      <c r="H231"/>
      <c r="I231"/>
      <c r="J231"/>
      <c r="K231"/>
      <c r="L231"/>
      <c r="M231"/>
      <c r="N231"/>
      <c r="O231"/>
      <c r="P231"/>
      <c r="Q231"/>
      <c r="R231"/>
      <c r="S231"/>
    </row>
    <row r="232" spans="5:19" ht="15.75">
      <c r="E232"/>
      <c r="F232"/>
      <c r="G232"/>
      <c r="H232"/>
      <c r="I232"/>
      <c r="J232"/>
      <c r="K232"/>
      <c r="L232"/>
      <c r="M232"/>
      <c r="N232"/>
      <c r="O232"/>
      <c r="P232"/>
      <c r="Q232"/>
      <c r="R232"/>
      <c r="S232"/>
    </row>
    <row r="233" spans="5:19" ht="15.75">
      <c r="E233"/>
      <c r="F233"/>
      <c r="G233"/>
      <c r="H233"/>
      <c r="I233"/>
      <c r="J233"/>
      <c r="K233"/>
      <c r="L233"/>
      <c r="M233"/>
      <c r="N233"/>
      <c r="O233"/>
      <c r="P233"/>
      <c r="Q233"/>
      <c r="R233"/>
      <c r="S233"/>
    </row>
    <row r="234" spans="5:19" ht="15.75">
      <c r="E234"/>
      <c r="F234"/>
      <c r="G234"/>
      <c r="H234"/>
      <c r="I234"/>
      <c r="J234"/>
      <c r="K234"/>
      <c r="L234"/>
      <c r="M234"/>
      <c r="N234"/>
      <c r="O234"/>
      <c r="P234"/>
      <c r="Q234"/>
      <c r="R234"/>
      <c r="S234"/>
    </row>
    <row r="235" spans="5:19" ht="15.75">
      <c r="E235"/>
      <c r="F235"/>
      <c r="G235"/>
      <c r="H235"/>
      <c r="I235"/>
      <c r="J235"/>
      <c r="K235"/>
      <c r="L235"/>
      <c r="M235"/>
      <c r="N235"/>
      <c r="O235"/>
      <c r="P235"/>
      <c r="Q235"/>
      <c r="R235"/>
      <c r="S235"/>
    </row>
    <row r="236" spans="5:19" ht="15.75">
      <c r="E236"/>
      <c r="F236"/>
      <c r="G236"/>
      <c r="H236"/>
      <c r="I236"/>
      <c r="J236"/>
      <c r="K236"/>
      <c r="L236"/>
      <c r="M236"/>
      <c r="N236"/>
      <c r="O236"/>
      <c r="P236"/>
      <c r="Q236"/>
      <c r="R236"/>
      <c r="S236"/>
    </row>
    <row r="237" spans="5:19" ht="15.75">
      <c r="E237"/>
      <c r="F237"/>
      <c r="G237"/>
      <c r="H237"/>
      <c r="I237"/>
      <c r="J237"/>
      <c r="K237"/>
      <c r="L237"/>
      <c r="M237"/>
      <c r="N237"/>
      <c r="O237"/>
      <c r="P237"/>
      <c r="Q237"/>
      <c r="R237"/>
      <c r="S237"/>
    </row>
    <row r="238" spans="5:19" ht="15.75">
      <c r="E238"/>
      <c r="F238"/>
      <c r="G238"/>
      <c r="H238"/>
      <c r="I238"/>
      <c r="J238"/>
      <c r="K238"/>
      <c r="L238"/>
      <c r="M238"/>
      <c r="N238"/>
      <c r="O238"/>
      <c r="P238"/>
      <c r="Q238"/>
      <c r="R238"/>
      <c r="S238"/>
    </row>
    <row r="239" spans="5:19" ht="15.75">
      <c r="E239"/>
      <c r="F239"/>
      <c r="G239"/>
      <c r="H239"/>
      <c r="I239"/>
      <c r="J239"/>
      <c r="K239"/>
      <c r="L239"/>
      <c r="M239"/>
      <c r="N239"/>
      <c r="O239"/>
      <c r="P239"/>
      <c r="Q239"/>
      <c r="R239"/>
      <c r="S239"/>
    </row>
    <row r="240" spans="5:19" ht="15.75">
      <c r="E240"/>
      <c r="F240"/>
      <c r="G240"/>
      <c r="H240"/>
      <c r="I240"/>
      <c r="J240"/>
      <c r="K240"/>
      <c r="L240"/>
      <c r="M240"/>
      <c r="N240"/>
      <c r="O240"/>
      <c r="P240"/>
      <c r="Q240"/>
      <c r="R240"/>
      <c r="S240"/>
    </row>
    <row r="241" spans="5:19" ht="15.75">
      <c r="E241"/>
      <c r="F241"/>
      <c r="G241"/>
      <c r="H241"/>
      <c r="I241"/>
      <c r="J241"/>
      <c r="K241"/>
      <c r="L241"/>
      <c r="M241"/>
      <c r="N241"/>
      <c r="O241"/>
      <c r="P241"/>
      <c r="Q241"/>
      <c r="R241"/>
      <c r="S241"/>
    </row>
    <row r="242" spans="5:19" ht="15.75">
      <c r="E242"/>
      <c r="F242"/>
      <c r="G242"/>
      <c r="H242"/>
      <c r="I242"/>
      <c r="J242"/>
      <c r="K242"/>
      <c r="L242"/>
      <c r="M242"/>
      <c r="N242"/>
      <c r="O242"/>
      <c r="P242"/>
      <c r="Q242"/>
      <c r="R242"/>
      <c r="S242"/>
    </row>
    <row r="243" spans="5:19" ht="15.75">
      <c r="E243"/>
      <c r="F243"/>
      <c r="G243"/>
      <c r="H243"/>
      <c r="I243"/>
      <c r="J243"/>
      <c r="K243"/>
      <c r="L243"/>
      <c r="M243"/>
      <c r="N243"/>
      <c r="O243"/>
      <c r="P243"/>
      <c r="Q243"/>
      <c r="R243"/>
      <c r="S243"/>
    </row>
    <row r="244" spans="5:19" ht="15.75">
      <c r="E244"/>
      <c r="F244"/>
      <c r="G244"/>
      <c r="H244"/>
      <c r="I244"/>
      <c r="J244"/>
      <c r="K244"/>
      <c r="L244"/>
      <c r="M244"/>
      <c r="N244"/>
      <c r="O244"/>
      <c r="P244"/>
      <c r="Q244"/>
      <c r="R244"/>
      <c r="S244"/>
    </row>
    <row r="245" spans="5:19" ht="15.75">
      <c r="E245"/>
      <c r="F245"/>
      <c r="G245"/>
      <c r="H245"/>
      <c r="I245"/>
      <c r="J245"/>
      <c r="K245"/>
      <c r="L245"/>
      <c r="M245"/>
      <c r="N245"/>
      <c r="O245"/>
      <c r="P245"/>
      <c r="Q245"/>
      <c r="R245"/>
      <c r="S245"/>
    </row>
    <row r="246" spans="5:19" ht="15.75">
      <c r="E246"/>
      <c r="F246"/>
      <c r="G246"/>
      <c r="H246"/>
      <c r="I246"/>
      <c r="J246"/>
      <c r="K246"/>
      <c r="L246"/>
      <c r="M246"/>
      <c r="N246"/>
      <c r="O246"/>
      <c r="P246"/>
      <c r="Q246"/>
      <c r="R246"/>
      <c r="S246"/>
    </row>
    <row r="247" spans="5:19" ht="15.75">
      <c r="E247"/>
      <c r="F247"/>
      <c r="G247"/>
      <c r="H247"/>
      <c r="I247"/>
      <c r="J247"/>
      <c r="K247"/>
      <c r="L247"/>
      <c r="M247"/>
      <c r="N247"/>
      <c r="O247"/>
      <c r="P247"/>
      <c r="Q247"/>
      <c r="R247"/>
      <c r="S247"/>
    </row>
    <row r="248" spans="5:19" ht="15.75">
      <c r="E248"/>
      <c r="F248"/>
      <c r="G248"/>
      <c r="H248"/>
      <c r="I248"/>
      <c r="J248"/>
      <c r="K248"/>
      <c r="L248"/>
      <c r="M248"/>
      <c r="N248"/>
      <c r="O248"/>
      <c r="P248"/>
      <c r="Q248"/>
      <c r="R248"/>
      <c r="S248"/>
    </row>
    <row r="249" spans="5:19" ht="15.75">
      <c r="E249"/>
      <c r="F249"/>
      <c r="G249"/>
      <c r="H249"/>
      <c r="I249"/>
      <c r="J249"/>
      <c r="K249"/>
      <c r="L249"/>
      <c r="M249"/>
      <c r="N249"/>
      <c r="O249"/>
      <c r="P249"/>
      <c r="Q249"/>
      <c r="R249"/>
      <c r="S249"/>
    </row>
    <row r="250" spans="5:19" ht="15.75">
      <c r="E250"/>
      <c r="F250"/>
      <c r="G250"/>
      <c r="H250"/>
      <c r="I250"/>
      <c r="J250"/>
      <c r="K250"/>
      <c r="L250"/>
      <c r="M250"/>
      <c r="N250"/>
      <c r="O250"/>
      <c r="P250"/>
      <c r="Q250"/>
      <c r="R250"/>
      <c r="S250"/>
    </row>
    <row r="251" spans="5:19" ht="15.75">
      <c r="E251"/>
      <c r="F251"/>
      <c r="G251"/>
      <c r="H251"/>
      <c r="I251"/>
      <c r="J251"/>
      <c r="K251"/>
      <c r="L251"/>
      <c r="M251"/>
      <c r="N251"/>
      <c r="O251"/>
      <c r="P251"/>
      <c r="Q251"/>
      <c r="R251"/>
      <c r="S251"/>
    </row>
    <row r="252" spans="5:19" ht="15.75">
      <c r="E252"/>
      <c r="F252"/>
      <c r="G252"/>
      <c r="H252"/>
      <c r="I252"/>
      <c r="J252"/>
      <c r="K252"/>
      <c r="L252"/>
      <c r="M252"/>
      <c r="N252"/>
      <c r="O252"/>
      <c r="P252"/>
      <c r="Q252"/>
      <c r="R252"/>
      <c r="S252"/>
    </row>
    <row r="253" spans="5:19" ht="15.75">
      <c r="E253"/>
      <c r="F253"/>
      <c r="G253"/>
      <c r="H253"/>
      <c r="I253"/>
      <c r="J253"/>
      <c r="K253"/>
      <c r="L253"/>
      <c r="M253"/>
      <c r="N253"/>
      <c r="O253"/>
      <c r="P253"/>
      <c r="Q253"/>
      <c r="R253"/>
      <c r="S253"/>
    </row>
    <row r="254" spans="5:19" ht="15.75">
      <c r="E254"/>
      <c r="F254"/>
      <c r="G254"/>
      <c r="H254"/>
      <c r="I254"/>
      <c r="J254"/>
      <c r="K254"/>
      <c r="L254"/>
      <c r="M254"/>
      <c r="N254"/>
      <c r="O254"/>
      <c r="P254"/>
      <c r="Q254"/>
      <c r="R254"/>
      <c r="S254"/>
    </row>
    <row r="255" spans="5:19" ht="15.75">
      <c r="E255"/>
      <c r="F255"/>
      <c r="G255"/>
      <c r="H255"/>
      <c r="I255"/>
      <c r="J255"/>
      <c r="K255"/>
      <c r="L255"/>
      <c r="M255"/>
      <c r="N255"/>
      <c r="O255"/>
      <c r="P255"/>
      <c r="Q255"/>
      <c r="R255"/>
      <c r="S255"/>
    </row>
    <row r="256" spans="5:19" ht="15.75">
      <c r="E256"/>
      <c r="F256"/>
      <c r="G256"/>
      <c r="H256"/>
      <c r="I256"/>
      <c r="J256"/>
      <c r="K256"/>
      <c r="L256"/>
      <c r="M256"/>
      <c r="N256"/>
      <c r="O256"/>
      <c r="P256"/>
      <c r="Q256"/>
      <c r="R256"/>
      <c r="S256"/>
    </row>
    <row r="257" spans="5:19" ht="15.75">
      <c r="E257"/>
      <c r="F257"/>
      <c r="G257"/>
      <c r="H257"/>
      <c r="I257"/>
      <c r="J257"/>
      <c r="K257"/>
      <c r="L257"/>
      <c r="M257"/>
      <c r="N257"/>
      <c r="O257"/>
      <c r="P257"/>
      <c r="Q257"/>
      <c r="R257"/>
      <c r="S257"/>
    </row>
    <row r="258" spans="5:19" ht="15.75">
      <c r="E258"/>
      <c r="F258"/>
      <c r="G258"/>
      <c r="H258"/>
      <c r="I258"/>
      <c r="J258"/>
      <c r="K258"/>
      <c r="L258"/>
      <c r="M258"/>
      <c r="N258"/>
      <c r="O258"/>
      <c r="P258"/>
      <c r="Q258"/>
      <c r="R258"/>
      <c r="S258"/>
    </row>
    <row r="259" spans="5:19" ht="15.75">
      <c r="E259"/>
      <c r="F259"/>
      <c r="G259"/>
      <c r="H259"/>
      <c r="I259"/>
      <c r="J259"/>
      <c r="K259"/>
      <c r="L259"/>
      <c r="M259"/>
      <c r="N259"/>
      <c r="O259"/>
      <c r="P259"/>
      <c r="Q259"/>
      <c r="R259"/>
      <c r="S259"/>
    </row>
    <row r="260" spans="5:19" ht="15.75">
      <c r="E260"/>
      <c r="F260"/>
      <c r="G260"/>
      <c r="H260"/>
      <c r="I260"/>
      <c r="J260"/>
      <c r="K260"/>
      <c r="L260"/>
      <c r="M260"/>
      <c r="N260"/>
      <c r="O260"/>
      <c r="P260"/>
      <c r="Q260"/>
      <c r="R260"/>
      <c r="S260"/>
    </row>
    <row r="261" spans="5:19" ht="15.75">
      <c r="E261"/>
      <c r="F261"/>
      <c r="G261"/>
      <c r="H261"/>
      <c r="I261"/>
      <c r="J261"/>
      <c r="K261"/>
      <c r="L261"/>
      <c r="M261"/>
      <c r="N261"/>
      <c r="O261"/>
      <c r="P261"/>
      <c r="Q261"/>
      <c r="R261"/>
      <c r="S261"/>
    </row>
    <row r="262" spans="5:19" ht="15.75">
      <c r="E262"/>
      <c r="F262"/>
      <c r="G262"/>
      <c r="H262"/>
      <c r="I262"/>
      <c r="J262"/>
      <c r="K262"/>
      <c r="L262"/>
      <c r="M262"/>
      <c r="N262"/>
      <c r="O262"/>
      <c r="P262"/>
      <c r="Q262"/>
      <c r="R262"/>
      <c r="S262"/>
    </row>
    <row r="263" spans="5:19" ht="15.75">
      <c r="E263"/>
      <c r="F263"/>
      <c r="G263"/>
      <c r="H263"/>
      <c r="I263"/>
      <c r="J263"/>
      <c r="K263"/>
      <c r="L263"/>
      <c r="M263"/>
      <c r="N263"/>
      <c r="O263"/>
      <c r="P263"/>
      <c r="Q263"/>
      <c r="R263"/>
      <c r="S263"/>
    </row>
    <row r="264" spans="5:19" ht="15.75">
      <c r="E264"/>
      <c r="F264"/>
      <c r="G264"/>
      <c r="H264"/>
      <c r="I264"/>
      <c r="J264"/>
      <c r="K264"/>
      <c r="L264"/>
      <c r="M264"/>
      <c r="N264"/>
      <c r="O264"/>
      <c r="P264"/>
      <c r="Q264"/>
      <c r="R264"/>
      <c r="S264"/>
    </row>
    <row r="265" spans="5:19" ht="15.75">
      <c r="E265"/>
      <c r="F265"/>
      <c r="G265"/>
      <c r="H265"/>
      <c r="I265"/>
      <c r="J265"/>
      <c r="K265"/>
      <c r="L265"/>
      <c r="M265"/>
      <c r="N265"/>
      <c r="O265"/>
      <c r="P265"/>
      <c r="Q265"/>
      <c r="R265"/>
      <c r="S265"/>
    </row>
    <row r="266" spans="5:19" ht="15.75">
      <c r="E266"/>
      <c r="F266"/>
      <c r="G266"/>
      <c r="H266"/>
      <c r="I266"/>
      <c r="J266"/>
      <c r="K266"/>
      <c r="L266"/>
      <c r="M266"/>
      <c r="N266"/>
      <c r="O266"/>
      <c r="P266"/>
      <c r="Q266"/>
      <c r="R266"/>
      <c r="S266"/>
    </row>
    <row r="267" spans="5:19" ht="15.75">
      <c r="E267"/>
      <c r="F267"/>
      <c r="G267"/>
      <c r="H267"/>
      <c r="I267"/>
      <c r="J267"/>
      <c r="K267"/>
      <c r="L267"/>
      <c r="M267"/>
      <c r="N267"/>
      <c r="O267"/>
      <c r="P267"/>
      <c r="Q267"/>
      <c r="R267"/>
      <c r="S267"/>
    </row>
    <row r="268" spans="5:19" ht="15.75">
      <c r="E268"/>
      <c r="F268"/>
      <c r="G268"/>
      <c r="H268"/>
      <c r="I268"/>
      <c r="J268"/>
      <c r="K268"/>
      <c r="L268"/>
      <c r="M268"/>
      <c r="N268"/>
      <c r="O268"/>
      <c r="P268"/>
      <c r="Q268"/>
      <c r="R268"/>
      <c r="S268"/>
    </row>
    <row r="269" spans="5:19" ht="15.75">
      <c r="E269"/>
      <c r="F269"/>
      <c r="G269"/>
      <c r="H269"/>
      <c r="I269"/>
      <c r="J269"/>
      <c r="K269"/>
      <c r="L269"/>
      <c r="M269"/>
      <c r="N269"/>
      <c r="O269"/>
      <c r="P269"/>
      <c r="Q269"/>
      <c r="R269"/>
      <c r="S269"/>
    </row>
    <row r="270" spans="5:19" ht="15.75">
      <c r="E270"/>
      <c r="F270"/>
      <c r="G270"/>
      <c r="H270"/>
      <c r="I270"/>
      <c r="J270"/>
      <c r="K270"/>
      <c r="L270"/>
      <c r="M270"/>
      <c r="N270"/>
      <c r="O270"/>
      <c r="P270"/>
      <c r="Q270"/>
      <c r="R270"/>
      <c r="S270"/>
    </row>
    <row r="271" spans="5:19" ht="15.75">
      <c r="E271"/>
      <c r="F271"/>
      <c r="G271"/>
      <c r="H271"/>
      <c r="I271"/>
      <c r="J271"/>
      <c r="K271"/>
      <c r="L271"/>
      <c r="M271"/>
      <c r="N271"/>
      <c r="O271"/>
      <c r="P271"/>
      <c r="Q271"/>
      <c r="R271"/>
      <c r="S271"/>
    </row>
    <row r="272" spans="5:19" ht="15.75">
      <c r="E272"/>
      <c r="F272"/>
      <c r="G272"/>
      <c r="H272"/>
      <c r="I272"/>
      <c r="J272"/>
      <c r="K272"/>
      <c r="L272"/>
      <c r="M272"/>
      <c r="N272"/>
      <c r="O272"/>
      <c r="P272"/>
      <c r="Q272"/>
      <c r="R272"/>
      <c r="S272"/>
    </row>
    <row r="273" spans="5:19" ht="15.75">
      <c r="E273"/>
      <c r="F273"/>
      <c r="G273"/>
      <c r="H273"/>
      <c r="I273"/>
      <c r="J273"/>
      <c r="K273"/>
      <c r="L273"/>
      <c r="M273"/>
      <c r="N273"/>
      <c r="O273"/>
      <c r="P273"/>
      <c r="Q273"/>
      <c r="R273"/>
      <c r="S273"/>
    </row>
    <row r="274" spans="5:19" ht="15.75">
      <c r="E274"/>
      <c r="F274"/>
      <c r="G274"/>
      <c r="H274"/>
      <c r="I274"/>
      <c r="J274"/>
      <c r="K274"/>
      <c r="L274"/>
      <c r="M274"/>
      <c r="N274"/>
      <c r="O274"/>
      <c r="P274"/>
      <c r="Q274"/>
      <c r="R274"/>
      <c r="S274"/>
    </row>
    <row r="275" spans="5:19" ht="15.75">
      <c r="E275"/>
      <c r="F275"/>
      <c r="G275"/>
      <c r="H275"/>
      <c r="I275"/>
      <c r="J275"/>
      <c r="K275"/>
      <c r="L275"/>
      <c r="M275"/>
      <c r="N275"/>
      <c r="O275"/>
      <c r="P275"/>
      <c r="Q275"/>
      <c r="R275"/>
      <c r="S275"/>
    </row>
    <row r="276" spans="5:19" ht="15.75">
      <c r="E276"/>
      <c r="F276"/>
      <c r="G276"/>
      <c r="H276"/>
      <c r="I276"/>
      <c r="J276"/>
      <c r="K276"/>
      <c r="L276"/>
      <c r="M276"/>
      <c r="N276"/>
      <c r="O276"/>
      <c r="P276"/>
      <c r="Q276"/>
      <c r="R276"/>
      <c r="S276"/>
    </row>
    <row r="277" spans="5:19" ht="15.75">
      <c r="E277"/>
      <c r="F277"/>
      <c r="G277"/>
      <c r="H277"/>
      <c r="I277"/>
      <c r="J277"/>
      <c r="K277"/>
      <c r="L277"/>
      <c r="M277"/>
      <c r="N277"/>
      <c r="O277"/>
      <c r="P277"/>
      <c r="Q277"/>
      <c r="R277"/>
      <c r="S277"/>
    </row>
    <row r="278" spans="5:19" ht="15.75">
      <c r="E278"/>
      <c r="F278"/>
      <c r="G278"/>
      <c r="H278"/>
      <c r="I278"/>
      <c r="J278"/>
      <c r="K278"/>
      <c r="L278"/>
      <c r="M278"/>
      <c r="N278"/>
      <c r="O278"/>
      <c r="P278"/>
      <c r="Q278"/>
      <c r="R278"/>
      <c r="S278"/>
    </row>
    <row r="279" spans="5:19" ht="15.75">
      <c r="E279"/>
      <c r="F279"/>
      <c r="G279"/>
      <c r="H279"/>
      <c r="I279"/>
      <c r="J279"/>
      <c r="K279"/>
      <c r="L279"/>
      <c r="M279"/>
      <c r="N279"/>
      <c r="O279"/>
      <c r="P279"/>
      <c r="Q279"/>
      <c r="R279"/>
      <c r="S279"/>
    </row>
    <row r="280" spans="5:19" ht="15.75">
      <c r="E280"/>
      <c r="F280"/>
      <c r="G280"/>
      <c r="H280"/>
      <c r="I280"/>
      <c r="J280"/>
      <c r="K280"/>
      <c r="L280"/>
      <c r="M280"/>
      <c r="N280"/>
      <c r="O280"/>
      <c r="P280"/>
      <c r="Q280"/>
      <c r="R280"/>
      <c r="S280"/>
    </row>
    <row r="281" spans="5:19" ht="15.75">
      <c r="E281"/>
      <c r="F281"/>
      <c r="G281"/>
      <c r="H281"/>
      <c r="I281"/>
      <c r="J281"/>
      <c r="K281"/>
      <c r="L281"/>
      <c r="M281"/>
      <c r="N281"/>
      <c r="O281"/>
      <c r="P281"/>
      <c r="Q281"/>
      <c r="R281"/>
      <c r="S281"/>
    </row>
    <row r="282" spans="5:19" ht="15.75">
      <c r="E282"/>
      <c r="F282"/>
      <c r="G282"/>
      <c r="H282"/>
      <c r="I282"/>
      <c r="J282"/>
      <c r="K282"/>
      <c r="L282"/>
      <c r="M282"/>
      <c r="N282"/>
      <c r="O282"/>
      <c r="P282"/>
      <c r="Q282"/>
      <c r="R282"/>
      <c r="S282"/>
    </row>
    <row r="283" spans="5:19" ht="15.75">
      <c r="E283"/>
      <c r="F283"/>
      <c r="G283"/>
      <c r="H283"/>
      <c r="I283"/>
      <c r="J283"/>
      <c r="K283"/>
      <c r="L283"/>
      <c r="M283"/>
      <c r="N283"/>
      <c r="O283"/>
      <c r="P283"/>
      <c r="Q283"/>
      <c r="R283"/>
      <c r="S283"/>
    </row>
    <row r="284" spans="5:19" ht="15.75">
      <c r="E284"/>
      <c r="F284"/>
      <c r="G284"/>
      <c r="H284"/>
      <c r="I284"/>
      <c r="J284"/>
      <c r="K284"/>
      <c r="L284"/>
      <c r="M284"/>
      <c r="N284"/>
      <c r="O284"/>
      <c r="P284"/>
      <c r="Q284"/>
      <c r="R284"/>
      <c r="S284"/>
    </row>
    <row r="285" spans="5:19" ht="15.75">
      <c r="E285"/>
      <c r="F285"/>
      <c r="G285"/>
      <c r="H285"/>
      <c r="I285"/>
      <c r="J285"/>
      <c r="K285"/>
      <c r="L285"/>
      <c r="M285"/>
      <c r="N285"/>
      <c r="O285"/>
      <c r="P285"/>
      <c r="Q285"/>
      <c r="R285"/>
      <c r="S285"/>
    </row>
    <row r="286" spans="5:19" ht="15.75">
      <c r="E286"/>
      <c r="F286"/>
      <c r="G286"/>
      <c r="H286"/>
      <c r="I286"/>
      <c r="J286"/>
      <c r="K286"/>
      <c r="L286"/>
      <c r="M286"/>
      <c r="N286"/>
      <c r="O286"/>
      <c r="P286"/>
      <c r="Q286"/>
      <c r="R286"/>
      <c r="S286"/>
    </row>
    <row r="287" spans="5:19" ht="15.75">
      <c r="E287"/>
      <c r="F287"/>
      <c r="G287"/>
      <c r="H287"/>
      <c r="I287"/>
      <c r="J287"/>
      <c r="K287"/>
      <c r="L287"/>
      <c r="M287"/>
      <c r="N287"/>
      <c r="O287"/>
      <c r="P287"/>
      <c r="Q287"/>
      <c r="R287"/>
      <c r="S287"/>
    </row>
    <row r="288" spans="5:19" ht="15.75">
      <c r="E288"/>
      <c r="F288"/>
      <c r="G288"/>
      <c r="H288"/>
      <c r="I288"/>
      <c r="J288"/>
      <c r="K288"/>
      <c r="L288"/>
      <c r="M288"/>
      <c r="N288"/>
      <c r="O288"/>
      <c r="P288"/>
      <c r="Q288"/>
      <c r="R288"/>
      <c r="S288"/>
    </row>
    <row r="289" spans="5:19" ht="15.75">
      <c r="E289"/>
      <c r="F289"/>
      <c r="G289"/>
      <c r="H289"/>
      <c r="I289"/>
      <c r="J289"/>
      <c r="K289"/>
      <c r="L289"/>
      <c r="M289"/>
      <c r="N289"/>
      <c r="O289"/>
      <c r="P289"/>
      <c r="Q289"/>
      <c r="R289"/>
      <c r="S289"/>
    </row>
    <row r="290" spans="5:19" ht="15.75">
      <c r="E290"/>
      <c r="F290"/>
      <c r="G290"/>
      <c r="H290"/>
      <c r="I290"/>
      <c r="J290"/>
      <c r="K290"/>
      <c r="L290"/>
      <c r="M290"/>
      <c r="N290"/>
      <c r="O290"/>
      <c r="P290"/>
      <c r="Q290"/>
      <c r="R290"/>
      <c r="S290"/>
    </row>
    <row r="291" spans="5:19" ht="15.75">
      <c r="E291"/>
      <c r="F291"/>
      <c r="G291"/>
      <c r="H291"/>
      <c r="I291"/>
      <c r="J291"/>
      <c r="K291"/>
      <c r="L291"/>
      <c r="M291"/>
      <c r="N291"/>
      <c r="O291"/>
      <c r="P291"/>
      <c r="Q291"/>
      <c r="R291"/>
      <c r="S291"/>
    </row>
    <row r="292" spans="5:19" ht="15.75">
      <c r="E292"/>
      <c r="F292"/>
      <c r="G292"/>
      <c r="H292"/>
      <c r="I292"/>
      <c r="J292"/>
      <c r="K292"/>
      <c r="L292"/>
      <c r="M292"/>
      <c r="N292"/>
      <c r="O292"/>
      <c r="P292"/>
      <c r="Q292"/>
      <c r="R292"/>
      <c r="S292"/>
    </row>
    <row r="293" spans="5:19" ht="15.75">
      <c r="E293"/>
      <c r="F293"/>
      <c r="G293"/>
      <c r="H293"/>
      <c r="I293"/>
      <c r="J293"/>
      <c r="K293"/>
      <c r="L293"/>
      <c r="M293"/>
      <c r="N293"/>
      <c r="O293"/>
      <c r="P293"/>
      <c r="Q293"/>
      <c r="R293"/>
      <c r="S293"/>
    </row>
    <row r="294" spans="5:19" ht="15.75">
      <c r="E294"/>
      <c r="F294"/>
      <c r="G294"/>
      <c r="H294"/>
      <c r="I294"/>
      <c r="J294"/>
      <c r="K294"/>
      <c r="L294"/>
      <c r="M294"/>
      <c r="N294"/>
      <c r="O294"/>
      <c r="P294"/>
      <c r="Q294"/>
      <c r="R294"/>
      <c r="S294"/>
    </row>
    <row r="295" spans="5:19" ht="15.75">
      <c r="E295"/>
      <c r="F295"/>
      <c r="G295"/>
      <c r="H295"/>
      <c r="I295"/>
      <c r="J295"/>
      <c r="K295"/>
      <c r="L295"/>
      <c r="M295"/>
      <c r="N295"/>
      <c r="O295"/>
      <c r="P295"/>
      <c r="Q295"/>
      <c r="R295"/>
      <c r="S295"/>
    </row>
    <row r="296" spans="5:19" ht="15.75">
      <c r="E296"/>
      <c r="F296"/>
      <c r="G296"/>
      <c r="H296"/>
      <c r="I296"/>
      <c r="J296"/>
      <c r="K296"/>
      <c r="L296"/>
      <c r="M296"/>
      <c r="N296"/>
      <c r="O296"/>
      <c r="P296"/>
      <c r="Q296"/>
      <c r="R296"/>
      <c r="S296"/>
    </row>
    <row r="297" spans="5:19" ht="15.75">
      <c r="E297"/>
      <c r="F297"/>
      <c r="G297"/>
      <c r="H297"/>
      <c r="I297"/>
      <c r="J297"/>
      <c r="K297"/>
      <c r="L297"/>
      <c r="M297"/>
      <c r="N297"/>
      <c r="O297"/>
      <c r="P297"/>
      <c r="Q297"/>
      <c r="R297"/>
      <c r="S297"/>
    </row>
    <row r="298" spans="5:19" ht="15.75">
      <c r="E298"/>
      <c r="F298"/>
      <c r="G298"/>
      <c r="H298"/>
      <c r="I298"/>
      <c r="J298"/>
      <c r="K298"/>
      <c r="L298"/>
      <c r="M298"/>
      <c r="N298"/>
      <c r="O298"/>
      <c r="P298"/>
      <c r="Q298"/>
      <c r="R298"/>
      <c r="S298"/>
    </row>
    <row r="299" spans="5:19" ht="15.75">
      <c r="E299"/>
      <c r="F299"/>
      <c r="G299"/>
      <c r="H299"/>
      <c r="I299"/>
      <c r="J299"/>
      <c r="K299"/>
      <c r="L299"/>
      <c r="M299"/>
      <c r="N299"/>
      <c r="O299"/>
      <c r="P299"/>
      <c r="Q299"/>
      <c r="R299"/>
      <c r="S299"/>
    </row>
    <row r="300" spans="5:19" ht="15.75">
      <c r="E300"/>
      <c r="F300"/>
      <c r="G300"/>
      <c r="H300"/>
      <c r="I300"/>
      <c r="J300"/>
      <c r="K300"/>
      <c r="L300"/>
      <c r="M300"/>
      <c r="N300"/>
      <c r="O300"/>
      <c r="P300"/>
      <c r="Q300"/>
      <c r="R300"/>
      <c r="S300"/>
    </row>
    <row r="301" spans="5:19" ht="15.75">
      <c r="E301"/>
      <c r="F301"/>
      <c r="G301"/>
      <c r="H301"/>
      <c r="I301"/>
      <c r="J301"/>
      <c r="K301"/>
      <c r="L301"/>
      <c r="M301"/>
      <c r="N301"/>
      <c r="O301"/>
      <c r="P301"/>
      <c r="Q301"/>
      <c r="R301"/>
      <c r="S301"/>
    </row>
    <row r="302" spans="5:19" ht="15.75">
      <c r="E302"/>
      <c r="F302"/>
      <c r="G302"/>
      <c r="H302"/>
      <c r="I302"/>
      <c r="J302"/>
      <c r="K302"/>
      <c r="L302"/>
      <c r="M302"/>
      <c r="N302"/>
      <c r="O302"/>
      <c r="P302"/>
      <c r="Q302"/>
      <c r="R302"/>
      <c r="S302"/>
    </row>
    <row r="303" spans="5:19" ht="15.75">
      <c r="E303"/>
      <c r="F303"/>
      <c r="G303"/>
      <c r="H303"/>
      <c r="I303"/>
      <c r="J303"/>
      <c r="K303"/>
      <c r="L303"/>
      <c r="M303"/>
      <c r="N303"/>
      <c r="O303"/>
      <c r="P303"/>
      <c r="Q303"/>
      <c r="R303"/>
      <c r="S303"/>
    </row>
    <row r="304" spans="5:19" ht="15.75">
      <c r="E304"/>
      <c r="F304"/>
      <c r="G304"/>
      <c r="H304"/>
      <c r="I304"/>
      <c r="J304"/>
      <c r="K304"/>
      <c r="L304"/>
      <c r="M304"/>
      <c r="N304"/>
      <c r="O304"/>
      <c r="P304"/>
      <c r="Q304"/>
      <c r="R304"/>
      <c r="S304"/>
    </row>
    <row r="305" spans="5:19" ht="15.75">
      <c r="E305"/>
      <c r="F305"/>
      <c r="G305"/>
      <c r="H305"/>
      <c r="I305"/>
      <c r="J305"/>
      <c r="K305"/>
      <c r="L305"/>
      <c r="M305"/>
      <c r="N305"/>
      <c r="O305"/>
      <c r="P305"/>
      <c r="Q305"/>
      <c r="R305"/>
      <c r="S305"/>
    </row>
    <row r="306" spans="5:19" ht="15.75">
      <c r="E306"/>
      <c r="F306"/>
      <c r="G306"/>
      <c r="H306"/>
      <c r="I306"/>
      <c r="J306"/>
      <c r="K306"/>
      <c r="L306"/>
      <c r="M306"/>
      <c r="N306"/>
      <c r="O306"/>
      <c r="P306"/>
      <c r="Q306"/>
      <c r="R306"/>
      <c r="S306"/>
    </row>
    <row r="307" spans="5:19" ht="15.75">
      <c r="E307"/>
      <c r="F307"/>
      <c r="G307"/>
      <c r="H307"/>
      <c r="I307"/>
      <c r="J307"/>
      <c r="K307"/>
      <c r="L307"/>
      <c r="M307"/>
      <c r="N307"/>
      <c r="O307"/>
      <c r="P307"/>
      <c r="Q307"/>
      <c r="R307"/>
      <c r="S307"/>
    </row>
    <row r="308" spans="5:19" ht="15.75">
      <c r="E308"/>
      <c r="F308"/>
      <c r="G308"/>
      <c r="H308"/>
      <c r="I308"/>
      <c r="J308"/>
      <c r="K308"/>
      <c r="L308"/>
      <c r="M308"/>
      <c r="N308"/>
      <c r="O308"/>
      <c r="P308"/>
      <c r="Q308"/>
      <c r="R308"/>
      <c r="S308"/>
    </row>
    <row r="309" spans="5:19" ht="15.75">
      <c r="E309"/>
      <c r="F309"/>
      <c r="G309"/>
      <c r="H309"/>
      <c r="I309"/>
      <c r="J309"/>
      <c r="K309"/>
      <c r="L309"/>
      <c r="M309"/>
      <c r="N309"/>
      <c r="O309"/>
      <c r="P309"/>
      <c r="Q309"/>
      <c r="R309"/>
      <c r="S309"/>
    </row>
    <row r="310" spans="5:19" ht="15.75">
      <c r="E310"/>
      <c r="F310"/>
      <c r="G310"/>
      <c r="H310"/>
      <c r="I310"/>
      <c r="J310"/>
      <c r="K310"/>
      <c r="L310"/>
      <c r="M310"/>
      <c r="N310"/>
      <c r="O310"/>
      <c r="P310"/>
      <c r="Q310"/>
      <c r="R310"/>
      <c r="S310"/>
    </row>
    <row r="311" spans="5:19" ht="15.75">
      <c r="E311"/>
      <c r="F311"/>
      <c r="G311"/>
      <c r="H311"/>
      <c r="I311"/>
      <c r="J311"/>
      <c r="K311"/>
      <c r="L311"/>
      <c r="M311"/>
      <c r="N311"/>
      <c r="O311"/>
      <c r="P311"/>
      <c r="Q311"/>
      <c r="R311"/>
      <c r="S311"/>
    </row>
    <row r="312" spans="5:19" ht="15.75">
      <c r="E312"/>
      <c r="F312"/>
      <c r="G312"/>
      <c r="H312"/>
      <c r="I312"/>
      <c r="J312"/>
      <c r="K312"/>
      <c r="L312"/>
      <c r="M312"/>
      <c r="N312"/>
      <c r="O312"/>
      <c r="P312"/>
      <c r="Q312"/>
      <c r="R312"/>
      <c r="S312"/>
    </row>
    <row r="313" spans="5:19" ht="15.75">
      <c r="E313"/>
      <c r="F313"/>
      <c r="G313"/>
      <c r="H313"/>
      <c r="I313"/>
      <c r="J313"/>
      <c r="K313"/>
      <c r="L313"/>
      <c r="M313"/>
      <c r="N313"/>
      <c r="O313"/>
      <c r="P313"/>
      <c r="Q313"/>
      <c r="R313"/>
      <c r="S313"/>
    </row>
    <row r="314" spans="5:19" ht="15.75">
      <c r="E314"/>
      <c r="F314"/>
      <c r="G314"/>
      <c r="H314"/>
      <c r="I314"/>
      <c r="J314"/>
      <c r="K314"/>
      <c r="L314"/>
      <c r="M314"/>
      <c r="N314"/>
      <c r="O314"/>
      <c r="P314"/>
      <c r="Q314"/>
      <c r="R314"/>
      <c r="S314"/>
    </row>
    <row r="315" spans="5:19" ht="15.75">
      <c r="E315"/>
      <c r="F315"/>
      <c r="G315"/>
      <c r="H315"/>
      <c r="I315"/>
      <c r="J315"/>
      <c r="K315"/>
      <c r="L315"/>
      <c r="M315"/>
      <c r="N315"/>
      <c r="O315"/>
      <c r="P315"/>
      <c r="Q315"/>
      <c r="R315"/>
      <c r="S315"/>
    </row>
    <row r="316" spans="5:19" ht="15.75">
      <c r="E316"/>
      <c r="F316"/>
      <c r="G316"/>
      <c r="H316"/>
      <c r="I316"/>
      <c r="J316"/>
      <c r="K316"/>
      <c r="L316"/>
      <c r="M316"/>
      <c r="N316"/>
      <c r="O316"/>
      <c r="P316"/>
      <c r="Q316"/>
      <c r="R316"/>
      <c r="S316"/>
    </row>
    <row r="317" spans="5:19" ht="15.75">
      <c r="E317"/>
      <c r="F317"/>
      <c r="G317"/>
      <c r="H317"/>
      <c r="I317"/>
      <c r="J317"/>
      <c r="K317"/>
      <c r="L317"/>
      <c r="M317"/>
      <c r="N317"/>
      <c r="O317"/>
      <c r="P317"/>
      <c r="Q317"/>
      <c r="R317"/>
      <c r="S317"/>
    </row>
    <row r="318" spans="5:19" ht="15.75">
      <c r="E318"/>
      <c r="F318"/>
      <c r="G318"/>
      <c r="H318"/>
      <c r="I318"/>
      <c r="J318"/>
      <c r="K318"/>
      <c r="L318"/>
      <c r="M318"/>
      <c r="N318"/>
      <c r="O318"/>
      <c r="P318"/>
      <c r="Q318"/>
      <c r="R318"/>
      <c r="S318"/>
    </row>
    <row r="319" spans="5:19" ht="15.75">
      <c r="E319"/>
      <c r="F319"/>
      <c r="G319"/>
      <c r="H319"/>
      <c r="I319"/>
      <c r="J319"/>
      <c r="K319"/>
      <c r="L319"/>
      <c r="M319"/>
      <c r="N319"/>
      <c r="O319"/>
      <c r="P319"/>
      <c r="Q319"/>
      <c r="R319"/>
      <c r="S319"/>
    </row>
    <row r="320" spans="5:19" ht="15.75">
      <c r="E320"/>
      <c r="F320"/>
      <c r="G320"/>
      <c r="H320"/>
      <c r="I320"/>
      <c r="J320"/>
      <c r="K320"/>
      <c r="L320"/>
      <c r="M320"/>
      <c r="N320"/>
      <c r="O320"/>
      <c r="P320"/>
      <c r="Q320"/>
      <c r="R320"/>
      <c r="S320"/>
    </row>
    <row r="321" spans="5:19" ht="15.75">
      <c r="E321"/>
      <c r="F321"/>
      <c r="G321"/>
      <c r="H321"/>
      <c r="I321"/>
      <c r="J321"/>
      <c r="K321"/>
      <c r="L321"/>
      <c r="M321"/>
      <c r="N321"/>
      <c r="O321"/>
      <c r="P321"/>
      <c r="Q321"/>
      <c r="R321"/>
      <c r="S321"/>
    </row>
    <row r="322" spans="5:19" ht="15.75">
      <c r="E322"/>
      <c r="F322"/>
      <c r="G322"/>
      <c r="H322"/>
      <c r="I322"/>
      <c r="J322"/>
      <c r="K322"/>
      <c r="L322"/>
      <c r="M322"/>
      <c r="N322"/>
      <c r="O322"/>
      <c r="P322"/>
      <c r="Q322"/>
      <c r="R322"/>
      <c r="S322"/>
    </row>
    <row r="323" spans="5:19" ht="15.75">
      <c r="E323"/>
      <c r="F323"/>
      <c r="G323"/>
      <c r="H323"/>
      <c r="I323"/>
      <c r="J323"/>
      <c r="K323"/>
      <c r="L323"/>
      <c r="M323"/>
      <c r="N323"/>
      <c r="O323"/>
      <c r="P323"/>
      <c r="Q323"/>
      <c r="R323"/>
      <c r="S323"/>
    </row>
  </sheetData>
  <sheetProtection/>
  <mergeCells count="42">
    <mergeCell ref="I9:I12"/>
    <mergeCell ref="J9:K9"/>
    <mergeCell ref="J10:J12"/>
    <mergeCell ref="K10:K12"/>
    <mergeCell ref="L9:L12"/>
    <mergeCell ref="M9:N9"/>
    <mergeCell ref="M10:M12"/>
    <mergeCell ref="N10:N12"/>
    <mergeCell ref="O6:T7"/>
    <mergeCell ref="C7:H7"/>
    <mergeCell ref="I7:N7"/>
    <mergeCell ref="C8:E8"/>
    <mergeCell ref="F8:H8"/>
    <mergeCell ref="R8:T8"/>
    <mergeCell ref="L8:N8"/>
    <mergeCell ref="O8:Q8"/>
    <mergeCell ref="A2:T2"/>
    <mergeCell ref="A3:T3"/>
    <mergeCell ref="A4:T4"/>
    <mergeCell ref="A6:B12"/>
    <mergeCell ref="C6:N6"/>
    <mergeCell ref="P10:P12"/>
    <mergeCell ref="Q10:Q12"/>
    <mergeCell ref="O9:O12"/>
    <mergeCell ref="P9:Q9"/>
    <mergeCell ref="I8:K8"/>
    <mergeCell ref="R9:R12"/>
    <mergeCell ref="S9:T9"/>
    <mergeCell ref="A16:B16"/>
    <mergeCell ref="A41:B41"/>
    <mergeCell ref="D10:D12"/>
    <mergeCell ref="E10:E12"/>
    <mergeCell ref="C9:C12"/>
    <mergeCell ref="D9:E9"/>
    <mergeCell ref="S10:S12"/>
    <mergeCell ref="T10:T12"/>
    <mergeCell ref="A13:B13"/>
    <mergeCell ref="A14:B14"/>
    <mergeCell ref="G10:G12"/>
    <mergeCell ref="H10:H12"/>
    <mergeCell ref="F9:F12"/>
    <mergeCell ref="G9:H9"/>
  </mergeCells>
  <printOptions/>
  <pageMargins left="0.5" right="0.25" top="0.25" bottom="0.5" header="0" footer="0"/>
  <pageSetup horizontalDpi="600" verticalDpi="600" orientation="landscape" paperSize="9" scale="85" r:id="rId4"/>
  <drawing r:id="rId3"/>
  <legacyDrawing r:id="rId2"/>
</worksheet>
</file>

<file path=xl/worksheets/sheet5.xml><?xml version="1.0" encoding="utf-8"?>
<worksheet xmlns="http://schemas.openxmlformats.org/spreadsheetml/2006/main" xmlns:r="http://schemas.openxmlformats.org/officeDocument/2006/relationships">
  <dimension ref="A1:AD325"/>
  <sheetViews>
    <sheetView zoomScale="90" zoomScaleNormal="90" zoomScalePageLayoutView="0" workbookViewId="0" topLeftCell="A1">
      <pane ySplit="6600" topLeftCell="A16" activePane="bottomLeft" state="split"/>
      <selection pane="topLeft" activeCell="J10" sqref="J10"/>
      <selection pane="bottomLeft" activeCell="B24" sqref="B24"/>
    </sheetView>
  </sheetViews>
  <sheetFormatPr defaultColWidth="9.140625" defaultRowHeight="12.75"/>
  <cols>
    <col min="1" max="1" width="3.28125" style="24" customWidth="1"/>
    <col min="2" max="2" width="30.28125" style="25" customWidth="1"/>
    <col min="3" max="3" width="9.28125" style="24" customWidth="1"/>
    <col min="4" max="4" width="9.8515625" style="24" customWidth="1"/>
    <col min="5" max="5" width="9.7109375" style="24" customWidth="1"/>
    <col min="6" max="6" width="9.28125" style="26" customWidth="1"/>
    <col min="7" max="7" width="8.8515625" style="26" customWidth="1"/>
    <col min="8" max="8" width="11.00390625" style="26" bestFit="1" customWidth="1"/>
    <col min="9" max="9" width="8.140625" style="24" customWidth="1"/>
    <col min="10" max="10" width="10.28125" style="24" customWidth="1"/>
    <col min="11" max="11" width="10.57421875" style="24" customWidth="1"/>
    <col min="12" max="12" width="11.28125" style="24" customWidth="1"/>
    <col min="13" max="13" width="8.421875" style="24" customWidth="1"/>
    <col min="14" max="14" width="9.00390625" style="26" customWidth="1"/>
    <col min="15" max="16384" width="9.140625" style="17" customWidth="1"/>
  </cols>
  <sheetData>
    <row r="1" spans="1:14" ht="19.5" customHeight="1">
      <c r="A1" s="1" t="s">
        <v>318</v>
      </c>
      <c r="B1" s="15"/>
      <c r="C1" s="1"/>
      <c r="D1" s="1"/>
      <c r="E1" s="16"/>
      <c r="F1" s="16"/>
      <c r="G1" s="16"/>
      <c r="H1" s="16"/>
      <c r="I1" s="16"/>
      <c r="J1" s="16"/>
      <c r="K1" s="16"/>
      <c r="L1" s="16"/>
      <c r="M1" s="16"/>
      <c r="N1" s="16"/>
    </row>
    <row r="2" spans="1:30" s="19" customFormat="1" ht="18.75">
      <c r="A2" s="810" t="s">
        <v>431</v>
      </c>
      <c r="B2" s="810"/>
      <c r="C2" s="810"/>
      <c r="D2" s="810"/>
      <c r="E2" s="810"/>
      <c r="F2" s="810"/>
      <c r="G2" s="810"/>
      <c r="H2" s="810"/>
      <c r="I2" s="810"/>
      <c r="J2" s="810"/>
      <c r="K2" s="810"/>
      <c r="L2" s="810"/>
      <c r="M2" s="810"/>
      <c r="N2" s="810"/>
      <c r="O2" s="18"/>
      <c r="P2" s="18"/>
      <c r="Q2" s="18"/>
      <c r="R2" s="18"/>
      <c r="S2" s="18"/>
      <c r="T2" s="18"/>
      <c r="U2" s="18"/>
      <c r="V2" s="18"/>
      <c r="W2" s="18"/>
      <c r="X2" s="18"/>
      <c r="Y2" s="18"/>
      <c r="Z2" s="18"/>
      <c r="AA2" s="18"/>
      <c r="AB2" s="18"/>
      <c r="AC2" s="18"/>
      <c r="AD2" s="18"/>
    </row>
    <row r="3" spans="1:30" s="19" customFormat="1" ht="18.75">
      <c r="A3" s="883" t="s">
        <v>463</v>
      </c>
      <c r="B3" s="883"/>
      <c r="C3" s="883"/>
      <c r="D3" s="883"/>
      <c r="E3" s="883"/>
      <c r="F3" s="883"/>
      <c r="G3" s="883"/>
      <c r="H3" s="883"/>
      <c r="I3" s="883"/>
      <c r="J3" s="883"/>
      <c r="K3" s="883"/>
      <c r="L3" s="883"/>
      <c r="M3" s="883"/>
      <c r="N3" s="883"/>
      <c r="O3" s="18"/>
      <c r="P3" s="18"/>
      <c r="Q3" s="18"/>
      <c r="R3" s="18"/>
      <c r="S3" s="18"/>
      <c r="T3" s="18"/>
      <c r="U3" s="18"/>
      <c r="V3" s="18"/>
      <c r="W3" s="18"/>
      <c r="X3" s="18"/>
      <c r="Y3" s="18"/>
      <c r="Z3" s="18"/>
      <c r="AA3" s="18"/>
      <c r="AB3" s="18"/>
      <c r="AC3" s="18"/>
      <c r="AD3" s="18"/>
    </row>
    <row r="4" spans="1:30" s="19" customFormat="1" ht="21.75" customHeight="1">
      <c r="A4" s="810" t="s">
        <v>319</v>
      </c>
      <c r="B4" s="812"/>
      <c r="C4" s="812"/>
      <c r="D4" s="812"/>
      <c r="E4" s="812"/>
      <c r="F4" s="812"/>
      <c r="G4" s="812"/>
      <c r="H4" s="812"/>
      <c r="I4" s="812"/>
      <c r="J4" s="812"/>
      <c r="K4" s="812"/>
      <c r="L4" s="812"/>
      <c r="M4" s="812"/>
      <c r="N4" s="812"/>
      <c r="O4" s="18"/>
      <c r="P4" s="18"/>
      <c r="Q4" s="18"/>
      <c r="R4" s="18"/>
      <c r="S4" s="18"/>
      <c r="T4" s="18"/>
      <c r="U4" s="18"/>
      <c r="V4" s="18"/>
      <c r="W4" s="18"/>
      <c r="X4" s="18"/>
      <c r="Y4" s="18"/>
      <c r="Z4" s="18"/>
      <c r="AA4" s="18"/>
      <c r="AB4" s="18"/>
      <c r="AC4" s="18"/>
      <c r="AD4" s="18"/>
    </row>
    <row r="5" spans="1:14" ht="15.75">
      <c r="A5" s="20"/>
      <c r="B5" s="20"/>
      <c r="C5" s="21"/>
      <c r="D5" s="21"/>
      <c r="E5" s="18"/>
      <c r="F5" s="18"/>
      <c r="G5" s="18"/>
      <c r="H5" s="18"/>
      <c r="I5" s="18"/>
      <c r="J5" s="18"/>
      <c r="K5" s="18"/>
      <c r="L5" s="18"/>
      <c r="M5" s="18"/>
      <c r="N5" s="18"/>
    </row>
    <row r="6" spans="1:14" ht="15.75" customHeight="1">
      <c r="A6" s="5"/>
      <c r="B6" s="5"/>
      <c r="C6" s="6"/>
      <c r="D6" s="6"/>
      <c r="E6" s="18"/>
      <c r="F6" s="18"/>
      <c r="G6" s="18"/>
      <c r="H6" s="18"/>
      <c r="I6" s="18"/>
      <c r="J6" s="18"/>
      <c r="K6" s="18"/>
      <c r="L6" s="18"/>
      <c r="M6" s="27"/>
      <c r="N6" s="18"/>
    </row>
    <row r="7" spans="1:14" s="61" customFormat="1" ht="35.25" customHeight="1">
      <c r="A7" s="865"/>
      <c r="B7" s="867"/>
      <c r="C7" s="902" t="s">
        <v>416</v>
      </c>
      <c r="D7" s="899"/>
      <c r="E7" s="899"/>
      <c r="F7" s="899"/>
      <c r="G7" s="899"/>
      <c r="H7" s="899"/>
      <c r="I7" s="902" t="s">
        <v>417</v>
      </c>
      <c r="J7" s="899"/>
      <c r="K7" s="899"/>
      <c r="L7" s="899"/>
      <c r="M7" s="899"/>
      <c r="N7" s="907"/>
    </row>
    <row r="8" spans="1:14" s="61" customFormat="1" ht="75.75" customHeight="1">
      <c r="A8" s="905"/>
      <c r="B8" s="906"/>
      <c r="C8" s="903" t="s">
        <v>439</v>
      </c>
      <c r="D8" s="904"/>
      <c r="E8" s="886"/>
      <c r="F8" s="903" t="s">
        <v>440</v>
      </c>
      <c r="G8" s="904"/>
      <c r="H8" s="886"/>
      <c r="I8" s="903" t="s">
        <v>442</v>
      </c>
      <c r="J8" s="904"/>
      <c r="K8" s="886"/>
      <c r="L8" s="903" t="s">
        <v>441</v>
      </c>
      <c r="M8" s="904"/>
      <c r="N8" s="886"/>
    </row>
    <row r="9" spans="1:14" s="61" customFormat="1" ht="25.5" customHeight="1">
      <c r="A9" s="905"/>
      <c r="B9" s="906"/>
      <c r="C9" s="849" t="s">
        <v>332</v>
      </c>
      <c r="D9" s="849" t="s">
        <v>321</v>
      </c>
      <c r="E9" s="849"/>
      <c r="F9" s="849" t="s">
        <v>332</v>
      </c>
      <c r="G9" s="849" t="s">
        <v>321</v>
      </c>
      <c r="H9" s="849"/>
      <c r="I9" s="849" t="s">
        <v>332</v>
      </c>
      <c r="J9" s="849" t="s">
        <v>321</v>
      </c>
      <c r="K9" s="849"/>
      <c r="L9" s="849" t="s">
        <v>332</v>
      </c>
      <c r="M9" s="849" t="s">
        <v>321</v>
      </c>
      <c r="N9" s="849"/>
    </row>
    <row r="10" spans="1:14" s="61" customFormat="1" ht="90" customHeight="1">
      <c r="A10" s="905"/>
      <c r="B10" s="906"/>
      <c r="C10" s="849"/>
      <c r="D10" s="57" t="s">
        <v>333</v>
      </c>
      <c r="E10" s="57" t="s">
        <v>320</v>
      </c>
      <c r="F10" s="849"/>
      <c r="G10" s="57" t="s">
        <v>333</v>
      </c>
      <c r="H10" s="57" t="s">
        <v>320</v>
      </c>
      <c r="I10" s="849"/>
      <c r="J10" s="57" t="s">
        <v>333</v>
      </c>
      <c r="K10" s="57" t="s">
        <v>320</v>
      </c>
      <c r="L10" s="849"/>
      <c r="M10" s="57" t="s">
        <v>333</v>
      </c>
      <c r="N10" s="57" t="s">
        <v>320</v>
      </c>
    </row>
    <row r="11" spans="1:14" s="61" customFormat="1" ht="15.75">
      <c r="A11" s="849" t="s">
        <v>323</v>
      </c>
      <c r="B11" s="849"/>
      <c r="C11" s="60">
        <v>1</v>
      </c>
      <c r="D11" s="60">
        <v>2</v>
      </c>
      <c r="E11" s="60">
        <v>3</v>
      </c>
      <c r="F11" s="60">
        <v>4</v>
      </c>
      <c r="G11" s="60">
        <v>5</v>
      </c>
      <c r="H11" s="60">
        <v>6</v>
      </c>
      <c r="I11" s="60">
        <v>7</v>
      </c>
      <c r="J11" s="60">
        <v>8</v>
      </c>
      <c r="K11" s="60">
        <v>9</v>
      </c>
      <c r="L11" s="60">
        <v>10</v>
      </c>
      <c r="M11" s="60">
        <v>11</v>
      </c>
      <c r="N11" s="60">
        <v>12</v>
      </c>
    </row>
    <row r="12" spans="1:14" s="62" customFormat="1" ht="32.25" customHeight="1">
      <c r="A12" s="850" t="s">
        <v>324</v>
      </c>
      <c r="B12" s="851"/>
      <c r="C12" s="121">
        <f>D12+E12</f>
        <v>544</v>
      </c>
      <c r="D12" s="121">
        <v>55</v>
      </c>
      <c r="E12" s="121">
        <f>E13+E38</f>
        <v>489</v>
      </c>
      <c r="F12" s="121">
        <f>G12+H12</f>
        <v>10965</v>
      </c>
      <c r="G12" s="121">
        <v>2147</v>
      </c>
      <c r="H12" s="121">
        <f>H13+H38</f>
        <v>8818</v>
      </c>
      <c r="I12" s="121">
        <f>J12+K12</f>
        <v>298</v>
      </c>
      <c r="J12" s="121">
        <v>52</v>
      </c>
      <c r="K12" s="121">
        <f>K13+K38</f>
        <v>246</v>
      </c>
      <c r="L12" s="121">
        <f>M12+N12</f>
        <v>5590</v>
      </c>
      <c r="M12" s="121">
        <v>920</v>
      </c>
      <c r="N12" s="121">
        <f>N13+N38</f>
        <v>4670</v>
      </c>
    </row>
    <row r="13" spans="1:14" s="62" customFormat="1" ht="30.75" customHeight="1">
      <c r="A13" s="851" t="s">
        <v>325</v>
      </c>
      <c r="B13" s="857"/>
      <c r="C13" s="100">
        <f>SUM(C14:C37)</f>
        <v>137</v>
      </c>
      <c r="D13" s="100"/>
      <c r="E13" s="100">
        <f>SUM(E14:E37)</f>
        <v>137</v>
      </c>
      <c r="F13" s="100">
        <f>SUM(F14:F37)</f>
        <v>643</v>
      </c>
      <c r="G13" s="100"/>
      <c r="H13" s="100">
        <f>SUM(H14:H37)</f>
        <v>643</v>
      </c>
      <c r="I13" s="100">
        <f>SUM(I14:I37)</f>
        <v>125</v>
      </c>
      <c r="J13" s="100"/>
      <c r="K13" s="100">
        <f>SUM(K14:K37)</f>
        <v>125</v>
      </c>
      <c r="L13" s="100">
        <f>SUM(L14:L37)</f>
        <v>413</v>
      </c>
      <c r="M13" s="100"/>
      <c r="N13" s="100">
        <f>SUM(N14:N37)</f>
        <v>413</v>
      </c>
    </row>
    <row r="14" spans="1:14" s="62" customFormat="1" ht="15.75">
      <c r="A14" s="639">
        <v>1</v>
      </c>
      <c r="B14" s="110" t="s">
        <v>479</v>
      </c>
      <c r="C14" s="101">
        <f>D14+E14</f>
        <v>0</v>
      </c>
      <c r="D14" s="43"/>
      <c r="E14" s="122">
        <v>0</v>
      </c>
      <c r="F14" s="101">
        <f>G14+H14</f>
        <v>0</v>
      </c>
      <c r="G14" s="9"/>
      <c r="H14" s="122">
        <v>0</v>
      </c>
      <c r="I14" s="101">
        <f>J14+K14</f>
        <v>0</v>
      </c>
      <c r="J14" s="8"/>
      <c r="K14" s="122">
        <v>0</v>
      </c>
      <c r="L14" s="101">
        <f>M14+N14</f>
        <v>0</v>
      </c>
      <c r="M14" s="9"/>
      <c r="N14" s="122">
        <v>0</v>
      </c>
    </row>
    <row r="15" spans="1:14" s="62" customFormat="1" ht="15.75">
      <c r="A15" s="639">
        <v>2</v>
      </c>
      <c r="B15" s="110" t="s">
        <v>480</v>
      </c>
      <c r="C15" s="101">
        <f aca="true" t="shared" si="0" ref="C15:C37">D15+E15</f>
        <v>5</v>
      </c>
      <c r="D15" s="63"/>
      <c r="E15" s="123">
        <v>5</v>
      </c>
      <c r="F15" s="101">
        <f aca="true" t="shared" si="1" ref="F15:F37">G15+H15</f>
        <v>34</v>
      </c>
      <c r="G15" s="9"/>
      <c r="H15" s="123">
        <v>34</v>
      </c>
      <c r="I15" s="101">
        <f aca="true" t="shared" si="2" ref="I15:I37">J15+K15</f>
        <v>0</v>
      </c>
      <c r="J15" s="8"/>
      <c r="K15" s="123">
        <v>0</v>
      </c>
      <c r="L15" s="101">
        <f aca="true" t="shared" si="3" ref="L15:L37">M15+N15</f>
        <v>0</v>
      </c>
      <c r="M15" s="9"/>
      <c r="N15" s="123">
        <v>0</v>
      </c>
    </row>
    <row r="16" spans="1:14" s="62" customFormat="1" ht="15.75">
      <c r="A16" s="639">
        <v>3</v>
      </c>
      <c r="B16" s="119" t="s">
        <v>465</v>
      </c>
      <c r="C16" s="101">
        <f t="shared" si="0"/>
        <v>12</v>
      </c>
      <c r="D16" s="63"/>
      <c r="E16" s="124">
        <v>12</v>
      </c>
      <c r="F16" s="101">
        <f t="shared" si="1"/>
        <v>47</v>
      </c>
      <c r="G16" s="9"/>
      <c r="H16" s="124">
        <v>47</v>
      </c>
      <c r="I16" s="101">
        <f t="shared" si="2"/>
        <v>12</v>
      </c>
      <c r="J16" s="9"/>
      <c r="K16" s="124">
        <v>12</v>
      </c>
      <c r="L16" s="101">
        <f t="shared" si="3"/>
        <v>47</v>
      </c>
      <c r="M16" s="9"/>
      <c r="N16" s="124">
        <v>47</v>
      </c>
    </row>
    <row r="17" spans="1:14" s="62" customFormat="1" ht="15.75">
      <c r="A17" s="639">
        <v>4</v>
      </c>
      <c r="B17" s="110" t="s">
        <v>350</v>
      </c>
      <c r="C17" s="101">
        <f t="shared" si="0"/>
        <v>14</v>
      </c>
      <c r="D17" s="63"/>
      <c r="E17" s="122">
        <v>14</v>
      </c>
      <c r="F17" s="101">
        <f t="shared" si="1"/>
        <v>36</v>
      </c>
      <c r="G17" s="9"/>
      <c r="H17" s="122">
        <v>36</v>
      </c>
      <c r="I17" s="101">
        <f t="shared" si="2"/>
        <v>14</v>
      </c>
      <c r="J17" s="8"/>
      <c r="K17" s="122">
        <v>14</v>
      </c>
      <c r="L17" s="101">
        <f t="shared" si="3"/>
        <v>35</v>
      </c>
      <c r="M17" s="9"/>
      <c r="N17" s="122">
        <v>35</v>
      </c>
    </row>
    <row r="18" spans="1:14" s="62" customFormat="1" ht="15.75">
      <c r="A18" s="639">
        <v>5</v>
      </c>
      <c r="B18" s="110" t="s">
        <v>355</v>
      </c>
      <c r="C18" s="101">
        <f t="shared" si="0"/>
        <v>13</v>
      </c>
      <c r="D18" s="63"/>
      <c r="E18" s="123">
        <v>13</v>
      </c>
      <c r="F18" s="101">
        <f t="shared" si="1"/>
        <v>112</v>
      </c>
      <c r="G18" s="9"/>
      <c r="H18" s="123">
        <v>112</v>
      </c>
      <c r="I18" s="101">
        <f t="shared" si="2"/>
        <v>5</v>
      </c>
      <c r="J18" s="8"/>
      <c r="K18" s="123">
        <v>5</v>
      </c>
      <c r="L18" s="101">
        <f t="shared" si="3"/>
        <v>49</v>
      </c>
      <c r="M18" s="9"/>
      <c r="N18" s="123">
        <v>49</v>
      </c>
    </row>
    <row r="19" spans="1:14" s="62" customFormat="1" ht="15.75">
      <c r="A19" s="639">
        <v>6</v>
      </c>
      <c r="B19" s="110" t="s">
        <v>356</v>
      </c>
      <c r="C19" s="101">
        <f t="shared" si="0"/>
        <v>0</v>
      </c>
      <c r="D19" s="63"/>
      <c r="E19" s="122"/>
      <c r="F19" s="101">
        <f t="shared" si="1"/>
        <v>0</v>
      </c>
      <c r="G19" s="9"/>
      <c r="H19" s="122"/>
      <c r="I19" s="101">
        <f t="shared" si="2"/>
        <v>0</v>
      </c>
      <c r="J19" s="8"/>
      <c r="K19" s="122"/>
      <c r="L19" s="101">
        <f t="shared" si="3"/>
        <v>0</v>
      </c>
      <c r="M19" s="9"/>
      <c r="N19" s="122"/>
    </row>
    <row r="20" spans="1:14" s="62" customFormat="1" ht="31.5">
      <c r="A20" s="639">
        <v>7</v>
      </c>
      <c r="B20" s="707" t="s">
        <v>481</v>
      </c>
      <c r="C20" s="101">
        <f t="shared" si="0"/>
        <v>2</v>
      </c>
      <c r="D20" s="63"/>
      <c r="E20" s="124">
        <v>2</v>
      </c>
      <c r="F20" s="101">
        <f t="shared" si="1"/>
        <v>12</v>
      </c>
      <c r="G20" s="9"/>
      <c r="H20" s="124">
        <v>12</v>
      </c>
      <c r="I20" s="101">
        <f t="shared" si="2"/>
        <v>2</v>
      </c>
      <c r="J20" s="8"/>
      <c r="K20" s="124">
        <v>2</v>
      </c>
      <c r="L20" s="101">
        <f t="shared" si="3"/>
        <v>11</v>
      </c>
      <c r="M20" s="9"/>
      <c r="N20" s="124">
        <v>11</v>
      </c>
    </row>
    <row r="21" spans="1:14" s="62" customFormat="1" ht="25.5" customHeight="1">
      <c r="A21" s="639">
        <v>8</v>
      </c>
      <c r="B21" s="113" t="s">
        <v>482</v>
      </c>
      <c r="C21" s="101">
        <f t="shared" si="0"/>
        <v>0</v>
      </c>
      <c r="D21" s="63"/>
      <c r="E21" s="125">
        <v>0</v>
      </c>
      <c r="F21" s="101">
        <f t="shared" si="1"/>
        <v>0</v>
      </c>
      <c r="G21" s="9"/>
      <c r="H21" s="125">
        <v>0</v>
      </c>
      <c r="I21" s="101">
        <f t="shared" si="2"/>
        <v>0</v>
      </c>
      <c r="J21" s="8"/>
      <c r="K21" s="125">
        <v>0</v>
      </c>
      <c r="L21" s="101">
        <f t="shared" si="3"/>
        <v>0</v>
      </c>
      <c r="M21" s="9"/>
      <c r="N21" s="125">
        <v>0</v>
      </c>
    </row>
    <row r="22" spans="1:14" s="62" customFormat="1" ht="15.75">
      <c r="A22" s="639">
        <v>9</v>
      </c>
      <c r="B22" s="114" t="s">
        <v>483</v>
      </c>
      <c r="C22" s="101">
        <f t="shared" si="0"/>
        <v>0</v>
      </c>
      <c r="D22" s="63"/>
      <c r="E22" s="122">
        <v>0</v>
      </c>
      <c r="F22" s="101">
        <f t="shared" si="1"/>
        <v>0</v>
      </c>
      <c r="G22" s="9"/>
      <c r="H22" s="122">
        <v>0</v>
      </c>
      <c r="I22" s="101">
        <f t="shared" si="2"/>
        <v>0</v>
      </c>
      <c r="J22" s="8"/>
      <c r="K22" s="122">
        <v>0</v>
      </c>
      <c r="L22" s="101">
        <f t="shared" si="3"/>
        <v>64</v>
      </c>
      <c r="M22" s="9"/>
      <c r="N22" s="122">
        <v>64</v>
      </c>
    </row>
    <row r="23" spans="1:14" s="62" customFormat="1" ht="31.5">
      <c r="A23" s="639">
        <v>10</v>
      </c>
      <c r="B23" s="111" t="s">
        <v>484</v>
      </c>
      <c r="C23" s="101">
        <f t="shared" si="0"/>
        <v>1</v>
      </c>
      <c r="D23" s="8"/>
      <c r="E23" s="122">
        <v>1</v>
      </c>
      <c r="F23" s="101">
        <f t="shared" si="1"/>
        <v>0</v>
      </c>
      <c r="G23" s="8"/>
      <c r="H23" s="122"/>
      <c r="I23" s="101">
        <f t="shared" si="2"/>
        <v>0</v>
      </c>
      <c r="J23" s="8"/>
      <c r="K23" s="122">
        <v>0</v>
      </c>
      <c r="L23" s="101">
        <f t="shared" si="3"/>
        <v>0</v>
      </c>
      <c r="M23" s="9"/>
      <c r="N23" s="122">
        <v>0</v>
      </c>
    </row>
    <row r="24" spans="1:14" s="62" customFormat="1" ht="15.75">
      <c r="A24" s="639">
        <v>11</v>
      </c>
      <c r="B24" s="113" t="s">
        <v>447</v>
      </c>
      <c r="C24" s="101">
        <f t="shared" si="0"/>
        <v>1</v>
      </c>
      <c r="D24" s="63"/>
      <c r="E24" s="122">
        <v>1</v>
      </c>
      <c r="F24" s="101">
        <f t="shared" si="1"/>
        <v>21</v>
      </c>
      <c r="G24" s="9"/>
      <c r="H24" s="122">
        <v>21</v>
      </c>
      <c r="I24" s="101">
        <f t="shared" si="2"/>
        <v>0</v>
      </c>
      <c r="J24" s="9"/>
      <c r="K24" s="122"/>
      <c r="L24" s="101">
        <f t="shared" si="3"/>
        <v>0</v>
      </c>
      <c r="M24" s="9"/>
      <c r="N24" s="122"/>
    </row>
    <row r="25" spans="1:14" s="62" customFormat="1" ht="15.75">
      <c r="A25" s="639">
        <v>12</v>
      </c>
      <c r="B25" s="111" t="s">
        <v>357</v>
      </c>
      <c r="C25" s="101">
        <f t="shared" si="0"/>
        <v>26</v>
      </c>
      <c r="D25" s="63"/>
      <c r="E25" s="126">
        <v>26</v>
      </c>
      <c r="F25" s="101">
        <f t="shared" si="1"/>
        <v>78</v>
      </c>
      <c r="G25" s="9"/>
      <c r="H25" s="126">
        <v>78</v>
      </c>
      <c r="I25" s="101">
        <f t="shared" si="2"/>
        <v>43</v>
      </c>
      <c r="J25" s="8"/>
      <c r="K25" s="126">
        <v>43</v>
      </c>
      <c r="L25" s="101">
        <f t="shared" si="3"/>
        <v>42</v>
      </c>
      <c r="M25" s="9"/>
      <c r="N25" s="126">
        <v>42</v>
      </c>
    </row>
    <row r="26" spans="1:14" s="62" customFormat="1" ht="15.75">
      <c r="A26" s="639">
        <v>13</v>
      </c>
      <c r="B26" s="113" t="s">
        <v>358</v>
      </c>
      <c r="C26" s="101">
        <f>D26+E26</f>
        <v>14</v>
      </c>
      <c r="D26" s="63"/>
      <c r="E26" s="122">
        <v>14</v>
      </c>
      <c r="F26" s="101">
        <f>G26+H26</f>
        <v>103</v>
      </c>
      <c r="G26" s="9"/>
      <c r="H26" s="122">
        <v>103</v>
      </c>
      <c r="I26" s="101">
        <f>J26+K26</f>
        <v>14</v>
      </c>
      <c r="J26" s="8"/>
      <c r="K26" s="122">
        <v>14</v>
      </c>
      <c r="L26" s="101">
        <f>M26+N26</f>
        <v>43</v>
      </c>
      <c r="M26" s="9"/>
      <c r="N26" s="122">
        <v>43</v>
      </c>
    </row>
    <row r="27" spans="1:14" s="62" customFormat="1" ht="15.75">
      <c r="A27" s="639">
        <v>14</v>
      </c>
      <c r="B27" s="111" t="s">
        <v>359</v>
      </c>
      <c r="C27" s="101">
        <f>D27+E27</f>
        <v>2</v>
      </c>
      <c r="D27" s="63"/>
      <c r="E27" s="122">
        <v>2</v>
      </c>
      <c r="F27" s="101">
        <f>G27+H27</f>
        <v>14</v>
      </c>
      <c r="G27" s="9"/>
      <c r="H27" s="122">
        <v>14</v>
      </c>
      <c r="I27" s="101">
        <f>J27+K27</f>
        <v>0</v>
      </c>
      <c r="J27" s="8"/>
      <c r="K27" s="122">
        <v>0</v>
      </c>
      <c r="L27" s="101">
        <f>M27+N27</f>
        <v>0</v>
      </c>
      <c r="M27" s="9"/>
      <c r="N27" s="122">
        <v>0</v>
      </c>
    </row>
    <row r="28" spans="1:14" s="62" customFormat="1" ht="15.75">
      <c r="A28" s="639">
        <v>15</v>
      </c>
      <c r="B28" s="113" t="s">
        <v>485</v>
      </c>
      <c r="C28" s="101">
        <f>D28+E28</f>
        <v>2</v>
      </c>
      <c r="D28" s="63"/>
      <c r="E28" s="122">
        <v>2</v>
      </c>
      <c r="F28" s="101">
        <f>G28+H28</f>
        <v>14</v>
      </c>
      <c r="G28" s="9"/>
      <c r="H28" s="122">
        <v>14</v>
      </c>
      <c r="I28" s="101">
        <f>J28+K28</f>
        <v>1</v>
      </c>
      <c r="J28" s="8"/>
      <c r="K28" s="122">
        <v>1</v>
      </c>
      <c r="L28" s="101">
        <f>M28+N28</f>
        <v>14</v>
      </c>
      <c r="M28" s="9"/>
      <c r="N28" s="122">
        <v>14</v>
      </c>
    </row>
    <row r="29" spans="1:14" s="62" customFormat="1" ht="15.75">
      <c r="A29" s="639">
        <v>16</v>
      </c>
      <c r="B29" s="111" t="s">
        <v>486</v>
      </c>
      <c r="C29" s="101">
        <f>D29+E29</f>
        <v>7</v>
      </c>
      <c r="D29" s="63"/>
      <c r="E29" s="122">
        <v>7</v>
      </c>
      <c r="F29" s="101">
        <f>G29+H29</f>
        <v>24</v>
      </c>
      <c r="G29" s="9"/>
      <c r="H29" s="122">
        <v>24</v>
      </c>
      <c r="I29" s="101">
        <f>J29+K29</f>
        <v>6</v>
      </c>
      <c r="J29" s="8"/>
      <c r="K29" s="122">
        <v>6</v>
      </c>
      <c r="L29" s="101">
        <f>M29+N29</f>
        <v>24</v>
      </c>
      <c r="M29" s="9"/>
      <c r="N29" s="122">
        <v>24</v>
      </c>
    </row>
    <row r="30" spans="1:14" s="62" customFormat="1" ht="15.75">
      <c r="A30" s="639">
        <v>17</v>
      </c>
      <c r="B30" s="111" t="s">
        <v>487</v>
      </c>
      <c r="C30" s="101">
        <f>D30+E30</f>
        <v>14</v>
      </c>
      <c r="D30" s="63"/>
      <c r="E30" s="122">
        <v>14</v>
      </c>
      <c r="F30" s="101">
        <f>G30+H30</f>
        <v>39</v>
      </c>
      <c r="G30" s="9"/>
      <c r="H30" s="122">
        <v>39</v>
      </c>
      <c r="I30" s="101">
        <f>J30+K30</f>
        <v>12</v>
      </c>
      <c r="J30" s="8"/>
      <c r="K30" s="122">
        <v>12</v>
      </c>
      <c r="L30" s="101">
        <f>M30+N30</f>
        <v>36</v>
      </c>
      <c r="M30" s="9"/>
      <c r="N30" s="122">
        <v>36</v>
      </c>
    </row>
    <row r="31" spans="1:14" s="62" customFormat="1" ht="15.75">
      <c r="A31" s="639">
        <v>18</v>
      </c>
      <c r="B31" s="111" t="s">
        <v>360</v>
      </c>
      <c r="C31" s="101">
        <f t="shared" si="0"/>
        <v>10</v>
      </c>
      <c r="D31" s="63"/>
      <c r="E31" s="122">
        <v>10</v>
      </c>
      <c r="F31" s="101">
        <f t="shared" si="1"/>
        <v>40</v>
      </c>
      <c r="G31" s="9"/>
      <c r="H31" s="122">
        <v>40</v>
      </c>
      <c r="I31" s="101">
        <f t="shared" si="2"/>
        <v>7</v>
      </c>
      <c r="J31" s="8"/>
      <c r="K31" s="122">
        <v>7</v>
      </c>
      <c r="L31" s="101">
        <f t="shared" si="3"/>
        <v>32</v>
      </c>
      <c r="M31" s="9"/>
      <c r="N31" s="122">
        <v>32</v>
      </c>
    </row>
    <row r="32" spans="1:14" s="62" customFormat="1" ht="15.75">
      <c r="A32" s="639">
        <v>19</v>
      </c>
      <c r="B32" s="111" t="s">
        <v>488</v>
      </c>
      <c r="C32" s="101">
        <f t="shared" si="0"/>
        <v>14</v>
      </c>
      <c r="D32" s="63"/>
      <c r="E32" s="123">
        <v>14</v>
      </c>
      <c r="F32" s="101">
        <f t="shared" si="1"/>
        <v>21</v>
      </c>
      <c r="G32" s="9"/>
      <c r="H32" s="123">
        <v>21</v>
      </c>
      <c r="I32" s="101">
        <f t="shared" si="2"/>
        <v>5</v>
      </c>
      <c r="J32" s="8"/>
      <c r="K32" s="123">
        <v>5</v>
      </c>
      <c r="L32" s="101">
        <f t="shared" si="3"/>
        <v>14</v>
      </c>
      <c r="M32" s="9"/>
      <c r="N32" s="123">
        <v>14</v>
      </c>
    </row>
    <row r="33" spans="1:14" s="62" customFormat="1" ht="15.75">
      <c r="A33" s="639">
        <v>20</v>
      </c>
      <c r="B33" s="114" t="s">
        <v>361</v>
      </c>
      <c r="C33" s="101">
        <f t="shared" si="0"/>
        <v>0</v>
      </c>
      <c r="D33" s="63"/>
      <c r="E33" s="122">
        <v>0</v>
      </c>
      <c r="F33" s="101">
        <f t="shared" si="1"/>
        <v>11</v>
      </c>
      <c r="G33" s="9"/>
      <c r="H33" s="122">
        <v>11</v>
      </c>
      <c r="I33" s="101">
        <f t="shared" si="2"/>
        <v>0</v>
      </c>
      <c r="J33" s="8"/>
      <c r="K33" s="122">
        <v>0</v>
      </c>
      <c r="L33" s="101">
        <f t="shared" si="3"/>
        <v>0</v>
      </c>
      <c r="M33" s="9"/>
      <c r="N33" s="122">
        <v>0</v>
      </c>
    </row>
    <row r="34" spans="1:14" s="62" customFormat="1" ht="15.75">
      <c r="A34" s="639">
        <v>21</v>
      </c>
      <c r="B34" s="113" t="s">
        <v>489</v>
      </c>
      <c r="C34" s="101">
        <f t="shared" si="0"/>
        <v>0</v>
      </c>
      <c r="D34" s="63"/>
      <c r="E34" s="122">
        <v>0</v>
      </c>
      <c r="F34" s="101">
        <f t="shared" si="1"/>
        <v>0</v>
      </c>
      <c r="G34" s="9"/>
      <c r="H34" s="122">
        <v>0</v>
      </c>
      <c r="I34" s="101">
        <f t="shared" si="2"/>
        <v>4</v>
      </c>
      <c r="J34" s="8"/>
      <c r="K34" s="122">
        <v>4</v>
      </c>
      <c r="L34" s="101">
        <f t="shared" si="3"/>
        <v>2</v>
      </c>
      <c r="M34" s="9"/>
      <c r="N34" s="122">
        <v>2</v>
      </c>
    </row>
    <row r="35" spans="1:14" s="62" customFormat="1" ht="12.75" customHeight="1">
      <c r="A35" s="639">
        <v>22</v>
      </c>
      <c r="B35" s="111" t="s">
        <v>490</v>
      </c>
      <c r="C35" s="101">
        <f t="shared" si="0"/>
        <v>0</v>
      </c>
      <c r="D35" s="63"/>
      <c r="E35" s="122"/>
      <c r="F35" s="101">
        <f t="shared" si="1"/>
        <v>37</v>
      </c>
      <c r="G35" s="9"/>
      <c r="H35" s="122">
        <v>37</v>
      </c>
      <c r="I35" s="101">
        <f t="shared" si="2"/>
        <v>0</v>
      </c>
      <c r="J35" s="8"/>
      <c r="K35" s="122"/>
      <c r="L35" s="101">
        <f t="shared" si="3"/>
        <v>0</v>
      </c>
      <c r="M35" s="9"/>
      <c r="N35" s="122"/>
    </row>
    <row r="36" spans="1:14" s="62" customFormat="1" ht="12.75" customHeight="1">
      <c r="A36" s="639">
        <v>23</v>
      </c>
      <c r="B36" s="111" t="s">
        <v>491</v>
      </c>
      <c r="C36" s="101">
        <f t="shared" si="0"/>
        <v>0</v>
      </c>
      <c r="D36" s="63"/>
      <c r="E36" s="122">
        <v>0</v>
      </c>
      <c r="F36" s="101">
        <f t="shared" si="1"/>
        <v>0</v>
      </c>
      <c r="G36" s="9"/>
      <c r="H36" s="122">
        <v>0</v>
      </c>
      <c r="I36" s="101">
        <f t="shared" si="2"/>
        <v>0</v>
      </c>
      <c r="J36" s="8"/>
      <c r="K36" s="122">
        <v>0</v>
      </c>
      <c r="L36" s="101">
        <f t="shared" si="3"/>
        <v>0</v>
      </c>
      <c r="M36" s="9"/>
      <c r="N36" s="122">
        <v>0</v>
      </c>
    </row>
    <row r="37" spans="1:14" s="62" customFormat="1" ht="15.75">
      <c r="A37" s="639">
        <v>24</v>
      </c>
      <c r="B37" s="111" t="s">
        <v>492</v>
      </c>
      <c r="C37" s="101">
        <f t="shared" si="0"/>
        <v>0</v>
      </c>
      <c r="D37" s="43"/>
      <c r="E37" s="122">
        <v>0</v>
      </c>
      <c r="F37" s="101">
        <f t="shared" si="1"/>
        <v>0</v>
      </c>
      <c r="G37" s="9"/>
      <c r="H37" s="122">
        <v>0</v>
      </c>
      <c r="I37" s="101">
        <f t="shared" si="2"/>
        <v>0</v>
      </c>
      <c r="J37" s="8"/>
      <c r="K37" s="122">
        <v>0</v>
      </c>
      <c r="L37" s="101">
        <f t="shared" si="3"/>
        <v>0</v>
      </c>
      <c r="M37" s="9"/>
      <c r="N37" s="122">
        <v>0</v>
      </c>
    </row>
    <row r="38" spans="1:14" s="64" customFormat="1" ht="21" customHeight="1">
      <c r="A38" s="851" t="s">
        <v>327</v>
      </c>
      <c r="B38" s="857"/>
      <c r="C38" s="100">
        <f aca="true" t="shared" si="4" ref="C38:N38">SUM(C39:C101)</f>
        <v>352</v>
      </c>
      <c r="D38" s="100"/>
      <c r="E38" s="100">
        <f t="shared" si="4"/>
        <v>352</v>
      </c>
      <c r="F38" s="100">
        <f t="shared" si="4"/>
        <v>8175</v>
      </c>
      <c r="G38" s="100"/>
      <c r="H38" s="100">
        <f t="shared" si="4"/>
        <v>8175</v>
      </c>
      <c r="I38" s="100">
        <f t="shared" si="4"/>
        <v>121</v>
      </c>
      <c r="J38" s="100"/>
      <c r="K38" s="100">
        <f t="shared" si="4"/>
        <v>121</v>
      </c>
      <c r="L38" s="100">
        <f t="shared" si="4"/>
        <v>4257</v>
      </c>
      <c r="M38" s="100"/>
      <c r="N38" s="100">
        <f t="shared" si="4"/>
        <v>4257</v>
      </c>
    </row>
    <row r="39" spans="1:14" s="61" customFormat="1" ht="15.75">
      <c r="A39" s="59">
        <v>1</v>
      </c>
      <c r="B39" s="69" t="s">
        <v>449</v>
      </c>
      <c r="C39" s="101">
        <f aca="true" t="shared" si="5" ref="C39:C101">D39+E39</f>
        <v>29</v>
      </c>
      <c r="D39" s="23"/>
      <c r="E39" s="122">
        <v>29</v>
      </c>
      <c r="F39" s="101">
        <f aca="true" t="shared" si="6" ref="F39:F101">G39+H39</f>
        <v>181</v>
      </c>
      <c r="G39" s="14"/>
      <c r="H39" s="122">
        <v>181</v>
      </c>
      <c r="I39" s="101">
        <f aca="true" t="shared" si="7" ref="I39:I101">J39+K39</f>
        <v>29</v>
      </c>
      <c r="J39" s="14"/>
      <c r="K39" s="122">
        <v>29</v>
      </c>
      <c r="L39" s="101">
        <f aca="true" t="shared" si="8" ref="L39:L101">M39+N39</f>
        <v>170</v>
      </c>
      <c r="M39" s="14"/>
      <c r="N39" s="122">
        <v>170</v>
      </c>
    </row>
    <row r="40" spans="1:14" s="61" customFormat="1" ht="15.75">
      <c r="A40" s="59">
        <v>2</v>
      </c>
      <c r="B40" s="69" t="s">
        <v>450</v>
      </c>
      <c r="C40" s="101">
        <f t="shared" si="5"/>
        <v>0</v>
      </c>
      <c r="D40" s="23"/>
      <c r="E40" s="122"/>
      <c r="F40" s="101">
        <f t="shared" si="6"/>
        <v>64</v>
      </c>
      <c r="G40" s="14"/>
      <c r="H40" s="122">
        <v>64</v>
      </c>
      <c r="I40" s="101">
        <f t="shared" si="7"/>
        <v>0</v>
      </c>
      <c r="J40" s="14"/>
      <c r="K40" s="122"/>
      <c r="L40" s="101">
        <f t="shared" si="8"/>
        <v>55</v>
      </c>
      <c r="M40" s="14"/>
      <c r="N40" s="122">
        <v>55</v>
      </c>
    </row>
    <row r="41" spans="1:14" s="61" customFormat="1" ht="15.75">
      <c r="A41" s="59">
        <v>3</v>
      </c>
      <c r="B41" s="69" t="s">
        <v>451</v>
      </c>
      <c r="C41" s="101">
        <f t="shared" si="5"/>
        <v>0</v>
      </c>
      <c r="D41" s="23"/>
      <c r="E41" s="122"/>
      <c r="F41" s="101">
        <f t="shared" si="6"/>
        <v>29</v>
      </c>
      <c r="G41" s="14"/>
      <c r="H41" s="122">
        <v>29</v>
      </c>
      <c r="I41" s="101">
        <f t="shared" si="7"/>
        <v>0</v>
      </c>
      <c r="J41" s="14"/>
      <c r="K41" s="122"/>
      <c r="L41" s="101">
        <f t="shared" si="8"/>
        <v>29</v>
      </c>
      <c r="M41" s="14"/>
      <c r="N41" s="122">
        <v>29</v>
      </c>
    </row>
    <row r="42" spans="1:14" s="61" customFormat="1" ht="15.75">
      <c r="A42" s="59">
        <v>4</v>
      </c>
      <c r="B42" s="69" t="s">
        <v>452</v>
      </c>
      <c r="C42" s="101">
        <f t="shared" si="5"/>
        <v>0</v>
      </c>
      <c r="D42" s="23"/>
      <c r="E42" s="122"/>
      <c r="F42" s="101">
        <f t="shared" si="6"/>
        <v>129</v>
      </c>
      <c r="G42" s="14"/>
      <c r="H42" s="122">
        <v>129</v>
      </c>
      <c r="I42" s="101">
        <f t="shared" si="7"/>
        <v>0</v>
      </c>
      <c r="J42" s="14"/>
      <c r="K42" s="122"/>
      <c r="L42" s="101">
        <f t="shared" si="8"/>
        <v>125</v>
      </c>
      <c r="M42" s="14"/>
      <c r="N42" s="122">
        <v>125</v>
      </c>
    </row>
    <row r="43" spans="1:14" s="61" customFormat="1" ht="15.75">
      <c r="A43" s="59">
        <v>5</v>
      </c>
      <c r="B43" s="69" t="s">
        <v>453</v>
      </c>
      <c r="C43" s="101">
        <f t="shared" si="5"/>
        <v>0</v>
      </c>
      <c r="D43" s="23"/>
      <c r="E43" s="122">
        <v>0</v>
      </c>
      <c r="F43" s="101">
        <f t="shared" si="6"/>
        <v>13</v>
      </c>
      <c r="G43" s="14"/>
      <c r="H43" s="122">
        <v>13</v>
      </c>
      <c r="I43" s="101">
        <f t="shared" si="7"/>
        <v>0</v>
      </c>
      <c r="J43" s="14"/>
      <c r="K43" s="122">
        <v>0</v>
      </c>
      <c r="L43" s="101">
        <f t="shared" si="8"/>
        <v>9</v>
      </c>
      <c r="M43" s="14"/>
      <c r="N43" s="122">
        <v>9</v>
      </c>
    </row>
    <row r="44" spans="1:14" s="61" customFormat="1" ht="15.75">
      <c r="A44" s="59">
        <v>6</v>
      </c>
      <c r="B44" s="69" t="s">
        <v>454</v>
      </c>
      <c r="C44" s="101">
        <f t="shared" si="5"/>
        <v>0</v>
      </c>
      <c r="D44" s="23"/>
      <c r="E44" s="122">
        <v>0</v>
      </c>
      <c r="F44" s="101">
        <f t="shared" si="6"/>
        <v>0</v>
      </c>
      <c r="G44" s="14"/>
      <c r="H44" s="122">
        <v>0</v>
      </c>
      <c r="I44" s="101">
        <f t="shared" si="7"/>
        <v>0</v>
      </c>
      <c r="J44" s="14"/>
      <c r="K44" s="122">
        <v>0</v>
      </c>
      <c r="L44" s="101">
        <f t="shared" si="8"/>
        <v>0</v>
      </c>
      <c r="M44" s="14"/>
      <c r="N44" s="122">
        <v>0</v>
      </c>
    </row>
    <row r="45" spans="1:14" ht="15.75">
      <c r="A45" s="59">
        <v>7</v>
      </c>
      <c r="B45" s="69" t="s">
        <v>455</v>
      </c>
      <c r="C45" s="101">
        <f t="shared" si="5"/>
        <v>0</v>
      </c>
      <c r="D45" s="23"/>
      <c r="E45" s="122">
        <v>0</v>
      </c>
      <c r="F45" s="101">
        <f t="shared" si="6"/>
        <v>67</v>
      </c>
      <c r="G45" s="14"/>
      <c r="H45" s="122">
        <v>67</v>
      </c>
      <c r="I45" s="101">
        <f t="shared" si="7"/>
        <v>0</v>
      </c>
      <c r="J45" s="14"/>
      <c r="K45" s="122">
        <v>0</v>
      </c>
      <c r="L45" s="101">
        <f t="shared" si="8"/>
        <v>49</v>
      </c>
      <c r="M45" s="14"/>
      <c r="N45" s="122">
        <v>49</v>
      </c>
    </row>
    <row r="46" spans="1:14" ht="15.75">
      <c r="A46" s="59">
        <v>8</v>
      </c>
      <c r="B46" s="69" t="s">
        <v>456</v>
      </c>
      <c r="C46" s="101">
        <f t="shared" si="5"/>
        <v>0</v>
      </c>
      <c r="D46" s="23"/>
      <c r="E46" s="122">
        <v>0</v>
      </c>
      <c r="F46" s="101">
        <f t="shared" si="6"/>
        <v>0</v>
      </c>
      <c r="G46" s="14"/>
      <c r="H46" s="122">
        <v>0</v>
      </c>
      <c r="I46" s="101">
        <f t="shared" si="7"/>
        <v>0</v>
      </c>
      <c r="J46" s="14"/>
      <c r="K46" s="122">
        <v>0</v>
      </c>
      <c r="L46" s="101">
        <f t="shared" si="8"/>
        <v>0</v>
      </c>
      <c r="M46" s="14"/>
      <c r="N46" s="122">
        <v>0</v>
      </c>
    </row>
    <row r="47" spans="1:14" ht="15.75">
      <c r="A47" s="59">
        <v>9</v>
      </c>
      <c r="B47" s="69" t="s">
        <v>457</v>
      </c>
      <c r="C47" s="101">
        <f t="shared" si="5"/>
        <v>54</v>
      </c>
      <c r="D47" s="23"/>
      <c r="E47" s="122">
        <v>54</v>
      </c>
      <c r="F47" s="101">
        <f t="shared" si="6"/>
        <v>131</v>
      </c>
      <c r="G47" s="14"/>
      <c r="H47" s="122">
        <v>131</v>
      </c>
      <c r="I47" s="101">
        <f t="shared" si="7"/>
        <v>0</v>
      </c>
      <c r="J47" s="14"/>
      <c r="K47" s="122">
        <v>0</v>
      </c>
      <c r="L47" s="101">
        <f t="shared" si="8"/>
        <v>121</v>
      </c>
      <c r="M47" s="14"/>
      <c r="N47" s="122">
        <v>121</v>
      </c>
    </row>
    <row r="48" spans="1:14" ht="15.75">
      <c r="A48" s="59">
        <v>10</v>
      </c>
      <c r="B48" s="69" t="s">
        <v>362</v>
      </c>
      <c r="C48" s="101">
        <f t="shared" si="5"/>
        <v>0</v>
      </c>
      <c r="D48" s="23"/>
      <c r="E48" s="122">
        <v>0</v>
      </c>
      <c r="F48" s="101">
        <f t="shared" si="6"/>
        <v>890</v>
      </c>
      <c r="G48" s="14"/>
      <c r="H48" s="122">
        <v>890</v>
      </c>
      <c r="I48" s="101">
        <f t="shared" si="7"/>
        <v>0</v>
      </c>
      <c r="J48" s="14"/>
      <c r="K48" s="122">
        <v>0</v>
      </c>
      <c r="L48" s="101">
        <f t="shared" si="8"/>
        <v>211</v>
      </c>
      <c r="M48" s="14"/>
      <c r="N48" s="127">
        <v>211</v>
      </c>
    </row>
    <row r="49" spans="1:14" ht="15.75">
      <c r="A49" s="59">
        <v>11</v>
      </c>
      <c r="B49" s="69" t="s">
        <v>363</v>
      </c>
      <c r="C49" s="101">
        <f t="shared" si="5"/>
        <v>0</v>
      </c>
      <c r="D49" s="23"/>
      <c r="E49" s="128">
        <v>0</v>
      </c>
      <c r="F49" s="101">
        <f t="shared" si="6"/>
        <v>168</v>
      </c>
      <c r="G49" s="14"/>
      <c r="H49" s="128">
        <v>168</v>
      </c>
      <c r="I49" s="101">
        <f t="shared" si="7"/>
        <v>0</v>
      </c>
      <c r="J49" s="14"/>
      <c r="K49" s="128">
        <v>0</v>
      </c>
      <c r="L49" s="101">
        <f t="shared" si="8"/>
        <v>0</v>
      </c>
      <c r="M49" s="14"/>
      <c r="N49" s="128">
        <v>0</v>
      </c>
    </row>
    <row r="50" spans="1:14" ht="15.75">
      <c r="A50" s="59">
        <v>12</v>
      </c>
      <c r="B50" s="69" t="s">
        <v>364</v>
      </c>
      <c r="C50" s="101">
        <f t="shared" si="5"/>
        <v>1</v>
      </c>
      <c r="D50" s="23"/>
      <c r="E50" s="122">
        <v>1</v>
      </c>
      <c r="F50" s="101">
        <f t="shared" si="6"/>
        <v>69</v>
      </c>
      <c r="G50" s="14"/>
      <c r="H50" s="122">
        <v>69</v>
      </c>
      <c r="I50" s="101">
        <f t="shared" si="7"/>
        <v>1</v>
      </c>
      <c r="J50" s="14"/>
      <c r="K50" s="122">
        <v>1</v>
      </c>
      <c r="L50" s="101">
        <f t="shared" si="8"/>
        <v>31</v>
      </c>
      <c r="M50" s="14"/>
      <c r="N50" s="122">
        <v>31</v>
      </c>
    </row>
    <row r="51" spans="1:14" ht="15.75">
      <c r="A51" s="59">
        <v>13</v>
      </c>
      <c r="B51" s="69" t="s">
        <v>365</v>
      </c>
      <c r="C51" s="101">
        <f t="shared" si="5"/>
        <v>3</v>
      </c>
      <c r="D51" s="14"/>
      <c r="E51" s="122">
        <v>3</v>
      </c>
      <c r="F51" s="101">
        <f t="shared" si="6"/>
        <v>283</v>
      </c>
      <c r="G51" s="14"/>
      <c r="H51" s="122">
        <v>283</v>
      </c>
      <c r="I51" s="101">
        <f t="shared" si="7"/>
        <v>3</v>
      </c>
      <c r="J51" s="14"/>
      <c r="K51" s="122">
        <v>3</v>
      </c>
      <c r="L51" s="101">
        <f t="shared" si="8"/>
        <v>254</v>
      </c>
      <c r="M51" s="14"/>
      <c r="N51" s="122">
        <v>254</v>
      </c>
    </row>
    <row r="52" spans="1:14" ht="15.75">
      <c r="A52" s="59">
        <v>14</v>
      </c>
      <c r="B52" s="69" t="s">
        <v>366</v>
      </c>
      <c r="C52" s="101">
        <f t="shared" si="5"/>
        <v>1</v>
      </c>
      <c r="D52" s="23"/>
      <c r="E52" s="128">
        <v>1</v>
      </c>
      <c r="F52" s="101">
        <f t="shared" si="6"/>
        <v>35</v>
      </c>
      <c r="G52" s="14"/>
      <c r="H52" s="128">
        <v>35</v>
      </c>
      <c r="I52" s="101">
        <f t="shared" si="7"/>
        <v>1</v>
      </c>
      <c r="J52" s="14"/>
      <c r="K52" s="128">
        <v>1</v>
      </c>
      <c r="L52" s="101">
        <f t="shared" si="8"/>
        <v>13</v>
      </c>
      <c r="M52" s="14"/>
      <c r="N52" s="128">
        <v>13</v>
      </c>
    </row>
    <row r="53" spans="1:14" ht="15.75">
      <c r="A53" s="59">
        <v>15</v>
      </c>
      <c r="B53" s="69" t="s">
        <v>367</v>
      </c>
      <c r="C53" s="101">
        <f t="shared" si="5"/>
        <v>0</v>
      </c>
      <c r="D53" s="23"/>
      <c r="E53" s="128">
        <v>0</v>
      </c>
      <c r="F53" s="101">
        <f t="shared" si="6"/>
        <v>143</v>
      </c>
      <c r="G53" s="14"/>
      <c r="H53" s="128">
        <v>143</v>
      </c>
      <c r="I53" s="101">
        <f t="shared" si="7"/>
        <v>4</v>
      </c>
      <c r="J53" s="14"/>
      <c r="K53" s="128">
        <v>4</v>
      </c>
      <c r="L53" s="101">
        <f t="shared" si="8"/>
        <v>194</v>
      </c>
      <c r="M53" s="14"/>
      <c r="N53" s="128">
        <v>194</v>
      </c>
    </row>
    <row r="54" spans="1:14" ht="15.75">
      <c r="A54" s="59">
        <v>16</v>
      </c>
      <c r="B54" s="69" t="s">
        <v>368</v>
      </c>
      <c r="C54" s="101">
        <f t="shared" si="5"/>
        <v>0</v>
      </c>
      <c r="D54" s="23"/>
      <c r="E54" s="122">
        <v>0</v>
      </c>
      <c r="F54" s="101">
        <f t="shared" si="6"/>
        <v>77</v>
      </c>
      <c r="G54" s="14"/>
      <c r="H54" s="122">
        <v>77</v>
      </c>
      <c r="I54" s="101">
        <f t="shared" si="7"/>
        <v>0</v>
      </c>
      <c r="J54" s="14"/>
      <c r="K54" s="122">
        <v>0</v>
      </c>
      <c r="L54" s="101">
        <f t="shared" si="8"/>
        <v>65</v>
      </c>
      <c r="M54" s="14"/>
      <c r="N54" s="122">
        <v>65</v>
      </c>
    </row>
    <row r="55" spans="1:14" ht="15.75">
      <c r="A55" s="59">
        <v>17</v>
      </c>
      <c r="B55" s="69" t="s">
        <v>369</v>
      </c>
      <c r="C55" s="101">
        <f t="shared" si="5"/>
        <v>1</v>
      </c>
      <c r="D55" s="23"/>
      <c r="E55" s="122">
        <v>1</v>
      </c>
      <c r="F55" s="101">
        <f t="shared" si="6"/>
        <v>19</v>
      </c>
      <c r="G55" s="14"/>
      <c r="H55" s="122">
        <v>19</v>
      </c>
      <c r="I55" s="101">
        <f t="shared" si="7"/>
        <v>1</v>
      </c>
      <c r="J55" s="14"/>
      <c r="K55" s="122">
        <v>1</v>
      </c>
      <c r="L55" s="101">
        <f t="shared" si="8"/>
        <v>19</v>
      </c>
      <c r="M55" s="14"/>
      <c r="N55" s="122">
        <v>19</v>
      </c>
    </row>
    <row r="56" spans="1:14" ht="15.75">
      <c r="A56" s="59">
        <v>18</v>
      </c>
      <c r="B56" s="69" t="s">
        <v>370</v>
      </c>
      <c r="C56" s="101">
        <f t="shared" si="5"/>
        <v>1</v>
      </c>
      <c r="D56" s="23"/>
      <c r="E56" s="122">
        <v>1</v>
      </c>
      <c r="F56" s="101">
        <f t="shared" si="6"/>
        <v>178</v>
      </c>
      <c r="G56" s="14"/>
      <c r="H56" s="122">
        <v>178</v>
      </c>
      <c r="I56" s="101">
        <f t="shared" si="7"/>
        <v>1</v>
      </c>
      <c r="J56" s="14"/>
      <c r="K56" s="122">
        <v>1</v>
      </c>
      <c r="L56" s="101">
        <f t="shared" si="8"/>
        <v>153</v>
      </c>
      <c r="M56" s="14"/>
      <c r="N56" s="122">
        <v>153</v>
      </c>
    </row>
    <row r="57" spans="1:14" ht="15.75">
      <c r="A57" s="59">
        <v>19</v>
      </c>
      <c r="B57" s="70" t="s">
        <v>371</v>
      </c>
      <c r="C57" s="101">
        <f t="shared" si="5"/>
        <v>0</v>
      </c>
      <c r="D57" s="45"/>
      <c r="E57" s="128">
        <v>0</v>
      </c>
      <c r="F57" s="101">
        <f t="shared" si="6"/>
        <v>13</v>
      </c>
      <c r="G57" s="45"/>
      <c r="H57" s="128">
        <v>13</v>
      </c>
      <c r="I57" s="101">
        <f t="shared" si="7"/>
        <v>0</v>
      </c>
      <c r="J57" s="45"/>
      <c r="K57" s="128">
        <v>0</v>
      </c>
      <c r="L57" s="101">
        <f t="shared" si="8"/>
        <v>13</v>
      </c>
      <c r="M57" s="45"/>
      <c r="N57" s="128">
        <v>13</v>
      </c>
    </row>
    <row r="58" spans="1:14" ht="15.75">
      <c r="A58" s="59">
        <v>20</v>
      </c>
      <c r="B58" s="70" t="s">
        <v>372</v>
      </c>
      <c r="C58" s="101">
        <f t="shared" si="5"/>
        <v>0</v>
      </c>
      <c r="D58" s="45"/>
      <c r="E58" s="128">
        <v>0</v>
      </c>
      <c r="F58" s="101">
        <f t="shared" si="6"/>
        <v>160</v>
      </c>
      <c r="G58" s="46"/>
      <c r="H58" s="128">
        <v>160</v>
      </c>
      <c r="I58" s="101">
        <f t="shared" si="7"/>
        <v>0</v>
      </c>
      <c r="J58" s="46"/>
      <c r="K58" s="128">
        <v>0</v>
      </c>
      <c r="L58" s="101">
        <f t="shared" si="8"/>
        <v>129</v>
      </c>
      <c r="M58" s="46"/>
      <c r="N58" s="128">
        <v>129</v>
      </c>
    </row>
    <row r="59" spans="1:14" ht="15.75">
      <c r="A59" s="59">
        <v>21</v>
      </c>
      <c r="B59" s="70" t="s">
        <v>373</v>
      </c>
      <c r="C59" s="101">
        <f t="shared" si="5"/>
        <v>0</v>
      </c>
      <c r="D59" s="45"/>
      <c r="E59" s="122">
        <v>0</v>
      </c>
      <c r="F59" s="101">
        <f t="shared" si="6"/>
        <v>243</v>
      </c>
      <c r="G59" s="46"/>
      <c r="H59" s="122">
        <v>243</v>
      </c>
      <c r="I59" s="101">
        <f t="shared" si="7"/>
        <v>0</v>
      </c>
      <c r="J59" s="46"/>
      <c r="K59" s="122">
        <v>0</v>
      </c>
      <c r="L59" s="101">
        <f t="shared" si="8"/>
        <v>199</v>
      </c>
      <c r="M59" s="46"/>
      <c r="N59" s="122">
        <v>199</v>
      </c>
    </row>
    <row r="60" spans="1:14" ht="15.75">
      <c r="A60" s="59">
        <v>22</v>
      </c>
      <c r="B60" s="70" t="s">
        <v>374</v>
      </c>
      <c r="C60" s="101">
        <f t="shared" si="5"/>
        <v>0</v>
      </c>
      <c r="D60" s="45"/>
      <c r="E60" s="128">
        <v>0</v>
      </c>
      <c r="F60" s="101">
        <f t="shared" si="6"/>
        <v>70</v>
      </c>
      <c r="G60" s="46"/>
      <c r="H60" s="128">
        <v>70</v>
      </c>
      <c r="I60" s="101">
        <f t="shared" si="7"/>
        <v>0</v>
      </c>
      <c r="J60" s="46"/>
      <c r="K60" s="128">
        <v>0</v>
      </c>
      <c r="L60" s="101">
        <f t="shared" si="8"/>
        <v>40</v>
      </c>
      <c r="M60" s="46"/>
      <c r="N60" s="128">
        <v>40</v>
      </c>
    </row>
    <row r="61" spans="1:14" ht="15.75">
      <c r="A61" s="59">
        <v>23</v>
      </c>
      <c r="B61" s="70" t="s">
        <v>375</v>
      </c>
      <c r="C61" s="101">
        <f t="shared" si="5"/>
        <v>0</v>
      </c>
      <c r="D61" s="45"/>
      <c r="E61" s="122"/>
      <c r="F61" s="101">
        <f t="shared" si="6"/>
        <v>588</v>
      </c>
      <c r="G61" s="46"/>
      <c r="H61" s="122">
        <v>588</v>
      </c>
      <c r="I61" s="101">
        <f t="shared" si="7"/>
        <v>0</v>
      </c>
      <c r="J61" s="46"/>
      <c r="K61" s="122">
        <v>0</v>
      </c>
      <c r="L61" s="101">
        <f t="shared" si="8"/>
        <v>0</v>
      </c>
      <c r="M61" s="46"/>
      <c r="N61" s="122">
        <v>0</v>
      </c>
    </row>
    <row r="62" spans="1:14" ht="15.75">
      <c r="A62" s="59">
        <v>24</v>
      </c>
      <c r="B62" s="70" t="s">
        <v>376</v>
      </c>
      <c r="C62" s="101">
        <f t="shared" si="5"/>
        <v>0</v>
      </c>
      <c r="D62" s="45"/>
      <c r="E62" s="122"/>
      <c r="F62" s="101">
        <f t="shared" si="6"/>
        <v>75</v>
      </c>
      <c r="G62" s="46"/>
      <c r="H62" s="122">
        <v>75</v>
      </c>
      <c r="I62" s="101">
        <f t="shared" si="7"/>
        <v>0</v>
      </c>
      <c r="J62" s="46"/>
      <c r="K62" s="122"/>
      <c r="L62" s="101">
        <f t="shared" si="8"/>
        <v>0</v>
      </c>
      <c r="M62" s="46"/>
      <c r="N62" s="122"/>
    </row>
    <row r="63" spans="1:14" ht="15.75">
      <c r="A63" s="59">
        <v>25</v>
      </c>
      <c r="B63" s="70" t="s">
        <v>377</v>
      </c>
      <c r="C63" s="101">
        <f t="shared" si="5"/>
        <v>0</v>
      </c>
      <c r="D63" s="45"/>
      <c r="E63" s="122">
        <v>0</v>
      </c>
      <c r="F63" s="101">
        <f t="shared" si="6"/>
        <v>23</v>
      </c>
      <c r="G63" s="46"/>
      <c r="H63" s="122">
        <v>23</v>
      </c>
      <c r="I63" s="101">
        <f t="shared" si="7"/>
        <v>0</v>
      </c>
      <c r="J63" s="46"/>
      <c r="K63" s="122">
        <v>0</v>
      </c>
      <c r="L63" s="101">
        <f t="shared" si="8"/>
        <v>22</v>
      </c>
      <c r="M63" s="46"/>
      <c r="N63" s="122">
        <v>22</v>
      </c>
    </row>
    <row r="64" spans="1:14" ht="15.75">
      <c r="A64" s="59">
        <v>26</v>
      </c>
      <c r="B64" s="70" t="s">
        <v>378</v>
      </c>
      <c r="C64" s="101">
        <f t="shared" si="5"/>
        <v>0</v>
      </c>
      <c r="D64" s="45"/>
      <c r="E64" s="122">
        <v>0</v>
      </c>
      <c r="F64" s="101">
        <f t="shared" si="6"/>
        <v>213</v>
      </c>
      <c r="G64" s="46"/>
      <c r="H64" s="122">
        <v>213</v>
      </c>
      <c r="I64" s="101">
        <f t="shared" si="7"/>
        <v>0</v>
      </c>
      <c r="J64" s="46"/>
      <c r="K64" s="122">
        <v>0</v>
      </c>
      <c r="L64" s="101">
        <f t="shared" si="8"/>
        <v>0</v>
      </c>
      <c r="M64" s="45"/>
      <c r="N64" s="122">
        <v>0</v>
      </c>
    </row>
    <row r="65" spans="1:14" ht="15.75">
      <c r="A65" s="59">
        <v>27</v>
      </c>
      <c r="B65" s="70" t="s">
        <v>379</v>
      </c>
      <c r="C65" s="101">
        <f t="shared" si="5"/>
        <v>0</v>
      </c>
      <c r="D65" s="45"/>
      <c r="E65" s="122">
        <v>0</v>
      </c>
      <c r="F65" s="101">
        <f t="shared" si="6"/>
        <v>0</v>
      </c>
      <c r="G65" s="46"/>
      <c r="H65" s="122">
        <v>0</v>
      </c>
      <c r="I65" s="101">
        <f t="shared" si="7"/>
        <v>0</v>
      </c>
      <c r="J65" s="46"/>
      <c r="K65" s="122">
        <v>0</v>
      </c>
      <c r="L65" s="101">
        <f t="shared" si="8"/>
        <v>0</v>
      </c>
      <c r="M65" s="46"/>
      <c r="N65" s="122">
        <v>0</v>
      </c>
    </row>
    <row r="66" spans="1:14" ht="15.75">
      <c r="A66" s="59">
        <v>28</v>
      </c>
      <c r="B66" s="70" t="s">
        <v>380</v>
      </c>
      <c r="C66" s="101">
        <f t="shared" si="5"/>
        <v>0</v>
      </c>
      <c r="D66" s="45"/>
      <c r="E66" s="122">
        <v>0</v>
      </c>
      <c r="F66" s="101">
        <f t="shared" si="6"/>
        <v>221</v>
      </c>
      <c r="G66" s="46"/>
      <c r="H66" s="122">
        <v>221</v>
      </c>
      <c r="I66" s="101">
        <f t="shared" si="7"/>
        <v>0</v>
      </c>
      <c r="J66" s="46"/>
      <c r="K66" s="122"/>
      <c r="L66" s="101">
        <f t="shared" si="8"/>
        <v>0</v>
      </c>
      <c r="M66" s="46"/>
      <c r="N66" s="122"/>
    </row>
    <row r="67" spans="1:14" ht="15.75">
      <c r="A67" s="59">
        <v>29</v>
      </c>
      <c r="B67" s="70" t="s">
        <v>381</v>
      </c>
      <c r="C67" s="101">
        <f t="shared" si="5"/>
        <v>0</v>
      </c>
      <c r="D67" s="45"/>
      <c r="E67" s="129">
        <v>0</v>
      </c>
      <c r="F67" s="101">
        <f t="shared" si="6"/>
        <v>163</v>
      </c>
      <c r="G67" s="46"/>
      <c r="H67" s="129">
        <v>163</v>
      </c>
      <c r="I67" s="101">
        <f t="shared" si="7"/>
        <v>0</v>
      </c>
      <c r="J67" s="46"/>
      <c r="K67" s="129">
        <v>0</v>
      </c>
      <c r="L67" s="101">
        <f t="shared" si="8"/>
        <v>116</v>
      </c>
      <c r="M67" s="46"/>
      <c r="N67" s="129">
        <v>116</v>
      </c>
    </row>
    <row r="68" spans="1:14" ht="15.75">
      <c r="A68" s="59">
        <v>30</v>
      </c>
      <c r="B68" s="70" t="s">
        <v>382</v>
      </c>
      <c r="C68" s="101">
        <f t="shared" si="5"/>
        <v>109</v>
      </c>
      <c r="D68" s="45"/>
      <c r="E68" s="122">
        <v>109</v>
      </c>
      <c r="F68" s="101">
        <f t="shared" si="6"/>
        <v>326</v>
      </c>
      <c r="G68" s="46"/>
      <c r="H68" s="122">
        <v>326</v>
      </c>
      <c r="I68" s="101">
        <f t="shared" si="7"/>
        <v>0</v>
      </c>
      <c r="J68" s="46"/>
      <c r="K68" s="122">
        <v>0</v>
      </c>
      <c r="L68" s="101">
        <f t="shared" si="8"/>
        <v>0</v>
      </c>
      <c r="M68" s="46"/>
      <c r="N68" s="122">
        <v>0</v>
      </c>
    </row>
    <row r="69" spans="1:14" ht="15.75">
      <c r="A69" s="59">
        <v>31</v>
      </c>
      <c r="B69" s="70" t="s">
        <v>383</v>
      </c>
      <c r="C69" s="101">
        <f t="shared" si="5"/>
        <v>0</v>
      </c>
      <c r="D69" s="45"/>
      <c r="E69" s="130">
        <v>0</v>
      </c>
      <c r="F69" s="101">
        <f t="shared" si="6"/>
        <v>109</v>
      </c>
      <c r="G69" s="46"/>
      <c r="H69" s="130">
        <v>109</v>
      </c>
      <c r="I69" s="101">
        <f t="shared" si="7"/>
        <v>0</v>
      </c>
      <c r="J69" s="46"/>
      <c r="K69" s="130">
        <v>0</v>
      </c>
      <c r="L69" s="101">
        <f t="shared" si="8"/>
        <v>0</v>
      </c>
      <c r="M69" s="46"/>
      <c r="N69" s="130">
        <v>0</v>
      </c>
    </row>
    <row r="70" spans="1:14" ht="15.75">
      <c r="A70" s="59">
        <v>32</v>
      </c>
      <c r="B70" s="70" t="s">
        <v>384</v>
      </c>
      <c r="C70" s="101">
        <f t="shared" si="5"/>
        <v>0</v>
      </c>
      <c r="D70" s="45"/>
      <c r="E70" s="122">
        <v>0</v>
      </c>
      <c r="F70" s="101">
        <f t="shared" si="6"/>
        <v>22</v>
      </c>
      <c r="G70" s="46"/>
      <c r="H70" s="122">
        <v>22</v>
      </c>
      <c r="I70" s="101">
        <f t="shared" si="7"/>
        <v>0</v>
      </c>
      <c r="J70" s="46"/>
      <c r="K70" s="122">
        <v>0</v>
      </c>
      <c r="L70" s="101">
        <f t="shared" si="8"/>
        <v>0</v>
      </c>
      <c r="M70" s="46"/>
      <c r="N70" s="122">
        <v>0</v>
      </c>
    </row>
    <row r="71" spans="1:14" ht="15.75">
      <c r="A71" s="59">
        <v>33</v>
      </c>
      <c r="B71" s="70" t="s">
        <v>385</v>
      </c>
      <c r="C71" s="101">
        <f t="shared" si="5"/>
        <v>4</v>
      </c>
      <c r="D71" s="45"/>
      <c r="E71" s="130">
        <v>4</v>
      </c>
      <c r="F71" s="101">
        <f t="shared" si="6"/>
        <v>34</v>
      </c>
      <c r="G71" s="46"/>
      <c r="H71" s="130">
        <v>34</v>
      </c>
      <c r="I71" s="101">
        <f t="shared" si="7"/>
        <v>4</v>
      </c>
      <c r="J71" s="46"/>
      <c r="K71" s="130">
        <v>4</v>
      </c>
      <c r="L71" s="101">
        <f t="shared" si="8"/>
        <v>2</v>
      </c>
      <c r="M71" s="46"/>
      <c r="N71" s="130">
        <v>2</v>
      </c>
    </row>
    <row r="72" spans="1:14" ht="15.75">
      <c r="A72" s="59">
        <v>34</v>
      </c>
      <c r="B72" s="70" t="s">
        <v>386</v>
      </c>
      <c r="C72" s="101">
        <f t="shared" si="5"/>
        <v>15</v>
      </c>
      <c r="D72" s="45"/>
      <c r="E72" s="122">
        <v>15</v>
      </c>
      <c r="F72" s="101">
        <f t="shared" si="6"/>
        <v>182</v>
      </c>
      <c r="G72" s="46"/>
      <c r="H72" s="122">
        <v>182</v>
      </c>
      <c r="I72" s="101">
        <f t="shared" si="7"/>
        <v>0</v>
      </c>
      <c r="J72" s="46"/>
      <c r="K72" s="122">
        <v>0</v>
      </c>
      <c r="L72" s="101">
        <f t="shared" si="8"/>
        <v>0</v>
      </c>
      <c r="M72" s="46"/>
      <c r="N72" s="122">
        <v>0</v>
      </c>
    </row>
    <row r="73" spans="1:14" ht="15.75">
      <c r="A73" s="59">
        <v>35</v>
      </c>
      <c r="B73" s="70" t="s">
        <v>387</v>
      </c>
      <c r="C73" s="101">
        <f t="shared" si="5"/>
        <v>0</v>
      </c>
      <c r="D73" s="45"/>
      <c r="E73" s="122"/>
      <c r="F73" s="101">
        <f t="shared" si="6"/>
        <v>135</v>
      </c>
      <c r="G73" s="46"/>
      <c r="H73" s="122">
        <v>135</v>
      </c>
      <c r="I73" s="101">
        <f t="shared" si="7"/>
        <v>0</v>
      </c>
      <c r="J73" s="46"/>
      <c r="K73" s="122"/>
      <c r="L73" s="101">
        <f t="shared" si="8"/>
        <v>103</v>
      </c>
      <c r="M73" s="46"/>
      <c r="N73" s="122">
        <v>103</v>
      </c>
    </row>
    <row r="74" spans="1:14" ht="15.75">
      <c r="A74" s="59">
        <v>36</v>
      </c>
      <c r="B74" s="71" t="s">
        <v>388</v>
      </c>
      <c r="C74" s="101">
        <f t="shared" si="5"/>
        <v>0</v>
      </c>
      <c r="D74" s="47"/>
      <c r="E74" s="122">
        <v>0</v>
      </c>
      <c r="F74" s="101">
        <f t="shared" si="6"/>
        <v>192</v>
      </c>
      <c r="G74" s="28"/>
      <c r="H74" s="122">
        <v>192</v>
      </c>
      <c r="I74" s="101">
        <f t="shared" si="7"/>
        <v>3</v>
      </c>
      <c r="J74" s="28"/>
      <c r="K74" s="122">
        <v>3</v>
      </c>
      <c r="L74" s="101">
        <f t="shared" si="8"/>
        <v>156</v>
      </c>
      <c r="M74" s="28"/>
      <c r="N74" s="122">
        <v>156</v>
      </c>
    </row>
    <row r="75" spans="1:14" ht="15.75">
      <c r="A75" s="59">
        <v>37</v>
      </c>
      <c r="B75" s="71" t="s">
        <v>389</v>
      </c>
      <c r="C75" s="101">
        <f t="shared" si="5"/>
        <v>23</v>
      </c>
      <c r="D75" s="47"/>
      <c r="E75" s="128">
        <v>23</v>
      </c>
      <c r="F75" s="101">
        <f t="shared" si="6"/>
        <v>54</v>
      </c>
      <c r="G75" s="28"/>
      <c r="H75" s="128">
        <v>54</v>
      </c>
      <c r="I75" s="101">
        <f t="shared" si="7"/>
        <v>23</v>
      </c>
      <c r="J75" s="28"/>
      <c r="K75" s="128">
        <v>23</v>
      </c>
      <c r="L75" s="101">
        <f t="shared" si="8"/>
        <v>50</v>
      </c>
      <c r="M75" s="28"/>
      <c r="N75" s="128">
        <v>50</v>
      </c>
    </row>
    <row r="76" spans="1:14" ht="15.75">
      <c r="A76" s="59">
        <v>38</v>
      </c>
      <c r="B76" s="71" t="s">
        <v>390</v>
      </c>
      <c r="C76" s="101">
        <f t="shared" si="5"/>
        <v>1</v>
      </c>
      <c r="D76" s="47"/>
      <c r="E76" s="122">
        <v>1</v>
      </c>
      <c r="F76" s="101">
        <f t="shared" si="6"/>
        <v>238</v>
      </c>
      <c r="G76" s="28"/>
      <c r="H76" s="122">
        <v>238</v>
      </c>
      <c r="I76" s="101">
        <f t="shared" si="7"/>
        <v>1</v>
      </c>
      <c r="J76" s="28"/>
      <c r="K76" s="122">
        <v>1</v>
      </c>
      <c r="L76" s="101">
        <f t="shared" si="8"/>
        <v>200</v>
      </c>
      <c r="M76" s="28"/>
      <c r="N76" s="122">
        <v>200</v>
      </c>
    </row>
    <row r="77" spans="1:14" ht="15.75">
      <c r="A77" s="59">
        <v>39</v>
      </c>
      <c r="B77" s="71" t="s">
        <v>391</v>
      </c>
      <c r="C77" s="101">
        <f t="shared" si="5"/>
        <v>0</v>
      </c>
      <c r="D77" s="47"/>
      <c r="E77" s="122">
        <v>0</v>
      </c>
      <c r="F77" s="101">
        <f t="shared" si="6"/>
        <v>0</v>
      </c>
      <c r="G77" s="28"/>
      <c r="H77" s="122">
        <v>0</v>
      </c>
      <c r="I77" s="101">
        <f t="shared" si="7"/>
        <v>0</v>
      </c>
      <c r="J77" s="28"/>
      <c r="K77" s="122">
        <v>0</v>
      </c>
      <c r="L77" s="101">
        <f t="shared" si="8"/>
        <v>0</v>
      </c>
      <c r="M77" s="28"/>
      <c r="N77" s="122">
        <v>0</v>
      </c>
    </row>
    <row r="78" spans="1:14" ht="15.75">
      <c r="A78" s="59">
        <v>40</v>
      </c>
      <c r="B78" s="71" t="s">
        <v>392</v>
      </c>
      <c r="C78" s="101">
        <f t="shared" si="5"/>
        <v>0</v>
      </c>
      <c r="D78" s="47"/>
      <c r="E78" s="122">
        <v>0</v>
      </c>
      <c r="F78" s="101">
        <f t="shared" si="6"/>
        <v>0</v>
      </c>
      <c r="G78" s="28"/>
      <c r="H78" s="122">
        <v>0</v>
      </c>
      <c r="I78" s="101">
        <f t="shared" si="7"/>
        <v>0</v>
      </c>
      <c r="J78" s="28"/>
      <c r="K78" s="122">
        <v>0</v>
      </c>
      <c r="L78" s="101">
        <f t="shared" si="8"/>
        <v>0</v>
      </c>
      <c r="M78" s="28"/>
      <c r="N78" s="122">
        <v>0</v>
      </c>
    </row>
    <row r="79" spans="1:14" ht="15.75">
      <c r="A79" s="59">
        <v>41</v>
      </c>
      <c r="B79" s="71" t="s">
        <v>393</v>
      </c>
      <c r="C79" s="101">
        <f t="shared" si="5"/>
        <v>1</v>
      </c>
      <c r="D79" s="47"/>
      <c r="E79" s="122">
        <v>1</v>
      </c>
      <c r="F79" s="101">
        <f t="shared" si="6"/>
        <v>21</v>
      </c>
      <c r="G79" s="28"/>
      <c r="H79" s="122">
        <v>21</v>
      </c>
      <c r="I79" s="101">
        <f t="shared" si="7"/>
        <v>1</v>
      </c>
      <c r="J79" s="28"/>
      <c r="K79" s="122">
        <v>1</v>
      </c>
      <c r="L79" s="101">
        <f t="shared" si="8"/>
        <v>19</v>
      </c>
      <c r="M79" s="28"/>
      <c r="N79" s="122">
        <v>19</v>
      </c>
    </row>
    <row r="80" spans="1:14" ht="15.75">
      <c r="A80" s="59">
        <v>42</v>
      </c>
      <c r="B80" s="71" t="s">
        <v>394</v>
      </c>
      <c r="C80" s="101">
        <f t="shared" si="5"/>
        <v>3</v>
      </c>
      <c r="D80" s="47"/>
      <c r="E80" s="122">
        <v>3</v>
      </c>
      <c r="F80" s="101">
        <f t="shared" si="6"/>
        <v>58</v>
      </c>
      <c r="G80" s="28"/>
      <c r="H80" s="122">
        <v>58</v>
      </c>
      <c r="I80" s="101">
        <f t="shared" si="7"/>
        <v>2</v>
      </c>
      <c r="J80" s="28"/>
      <c r="K80" s="122">
        <v>2</v>
      </c>
      <c r="L80" s="101">
        <f t="shared" si="8"/>
        <v>59</v>
      </c>
      <c r="M80" s="28"/>
      <c r="N80" s="122">
        <v>59</v>
      </c>
    </row>
    <row r="81" spans="1:14" ht="15.75">
      <c r="A81" s="59">
        <v>43</v>
      </c>
      <c r="B81" s="71" t="s">
        <v>395</v>
      </c>
      <c r="C81" s="101">
        <f t="shared" si="5"/>
        <v>26</v>
      </c>
      <c r="D81" s="47"/>
      <c r="E81" s="122">
        <v>26</v>
      </c>
      <c r="F81" s="101">
        <f t="shared" si="6"/>
        <v>37</v>
      </c>
      <c r="G81" s="28"/>
      <c r="H81" s="122">
        <v>37</v>
      </c>
      <c r="I81" s="101">
        <f t="shared" si="7"/>
        <v>26</v>
      </c>
      <c r="J81" s="28"/>
      <c r="K81" s="122">
        <v>26</v>
      </c>
      <c r="L81" s="101">
        <f t="shared" si="8"/>
        <v>26</v>
      </c>
      <c r="M81" s="28"/>
      <c r="N81" s="122">
        <v>26</v>
      </c>
    </row>
    <row r="82" spans="1:14" ht="15.75">
      <c r="A82" s="59">
        <v>44</v>
      </c>
      <c r="B82" s="71" t="s">
        <v>396</v>
      </c>
      <c r="C82" s="101">
        <f t="shared" si="5"/>
        <v>0</v>
      </c>
      <c r="D82" s="47"/>
      <c r="E82" s="122">
        <v>0</v>
      </c>
      <c r="F82" s="101">
        <f t="shared" si="6"/>
        <v>21</v>
      </c>
      <c r="G82" s="28"/>
      <c r="H82" s="122">
        <v>21</v>
      </c>
      <c r="I82" s="101">
        <f t="shared" si="7"/>
        <v>0</v>
      </c>
      <c r="J82" s="28"/>
      <c r="K82" s="122">
        <v>0</v>
      </c>
      <c r="L82" s="101">
        <f t="shared" si="8"/>
        <v>21</v>
      </c>
      <c r="M82" s="28"/>
      <c r="N82" s="122">
        <v>21</v>
      </c>
    </row>
    <row r="83" spans="1:14" s="48" customFormat="1" ht="15.75">
      <c r="A83" s="59">
        <v>45</v>
      </c>
      <c r="B83" s="75" t="s">
        <v>397</v>
      </c>
      <c r="C83" s="101">
        <f t="shared" si="5"/>
        <v>3</v>
      </c>
      <c r="D83" s="45"/>
      <c r="E83" s="122">
        <v>3</v>
      </c>
      <c r="F83" s="101">
        <f t="shared" si="6"/>
        <v>421</v>
      </c>
      <c r="G83" s="46"/>
      <c r="H83" s="122">
        <v>421</v>
      </c>
      <c r="I83" s="101">
        <f t="shared" si="7"/>
        <v>3</v>
      </c>
      <c r="J83" s="46"/>
      <c r="K83" s="122">
        <v>3</v>
      </c>
      <c r="L83" s="101">
        <f t="shared" si="8"/>
        <v>382</v>
      </c>
      <c r="M83" s="46"/>
      <c r="N83" s="122">
        <v>382</v>
      </c>
    </row>
    <row r="84" spans="1:14" s="48" customFormat="1" ht="15.75">
      <c r="A84" s="59">
        <v>46</v>
      </c>
      <c r="B84" s="75" t="s">
        <v>398</v>
      </c>
      <c r="C84" s="101">
        <f t="shared" si="5"/>
        <v>0</v>
      </c>
      <c r="D84" s="45"/>
      <c r="E84" s="128">
        <v>0</v>
      </c>
      <c r="F84" s="101">
        <f t="shared" si="6"/>
        <v>24</v>
      </c>
      <c r="G84" s="46"/>
      <c r="H84" s="128">
        <v>24</v>
      </c>
      <c r="I84" s="101">
        <f t="shared" si="7"/>
        <v>0</v>
      </c>
      <c r="J84" s="46"/>
      <c r="K84" s="128">
        <v>0</v>
      </c>
      <c r="L84" s="101">
        <f t="shared" si="8"/>
        <v>0</v>
      </c>
      <c r="M84" s="46"/>
      <c r="N84" s="128">
        <v>0</v>
      </c>
    </row>
    <row r="85" spans="1:14" s="48" customFormat="1" ht="15.75">
      <c r="A85" s="59">
        <v>47</v>
      </c>
      <c r="B85" s="75" t="s">
        <v>399</v>
      </c>
      <c r="C85" s="101">
        <f t="shared" si="5"/>
        <v>0</v>
      </c>
      <c r="D85" s="45"/>
      <c r="E85" s="128">
        <v>0</v>
      </c>
      <c r="F85" s="101">
        <f t="shared" si="6"/>
        <v>95</v>
      </c>
      <c r="G85" s="46"/>
      <c r="H85" s="128">
        <v>95</v>
      </c>
      <c r="I85" s="101">
        <f t="shared" si="7"/>
        <v>0</v>
      </c>
      <c r="J85" s="46"/>
      <c r="K85" s="128">
        <v>0</v>
      </c>
      <c r="L85" s="101">
        <f t="shared" si="8"/>
        <v>0</v>
      </c>
      <c r="M85" s="46"/>
      <c r="N85" s="128">
        <v>0</v>
      </c>
    </row>
    <row r="86" spans="1:14" s="48" customFormat="1" ht="15.75">
      <c r="A86" s="59">
        <v>48</v>
      </c>
      <c r="B86" s="75" t="s">
        <v>400</v>
      </c>
      <c r="C86" s="101">
        <f t="shared" si="5"/>
        <v>0</v>
      </c>
      <c r="D86" s="45"/>
      <c r="E86" s="122">
        <v>0</v>
      </c>
      <c r="F86" s="101">
        <f t="shared" si="6"/>
        <v>141</v>
      </c>
      <c r="G86" s="46"/>
      <c r="H86" s="122">
        <v>141</v>
      </c>
      <c r="I86" s="101">
        <f t="shared" si="7"/>
        <v>0</v>
      </c>
      <c r="J86" s="46"/>
      <c r="K86" s="122">
        <v>0</v>
      </c>
      <c r="L86" s="101">
        <f t="shared" si="8"/>
        <v>140</v>
      </c>
      <c r="M86" s="46"/>
      <c r="N86" s="122">
        <v>140</v>
      </c>
    </row>
    <row r="87" spans="1:14" s="48" customFormat="1" ht="15.75">
      <c r="A87" s="59">
        <v>49</v>
      </c>
      <c r="B87" s="75" t="s">
        <v>401</v>
      </c>
      <c r="C87" s="101">
        <f t="shared" si="5"/>
        <v>1</v>
      </c>
      <c r="D87" s="45"/>
      <c r="E87" s="122">
        <v>1</v>
      </c>
      <c r="F87" s="101">
        <f t="shared" si="6"/>
        <v>232</v>
      </c>
      <c r="G87" s="46"/>
      <c r="H87" s="122">
        <v>232</v>
      </c>
      <c r="I87" s="101">
        <f t="shared" si="7"/>
        <v>1</v>
      </c>
      <c r="J87" s="46"/>
      <c r="K87" s="122">
        <v>1</v>
      </c>
      <c r="L87" s="101">
        <f t="shared" si="8"/>
        <v>198</v>
      </c>
      <c r="M87" s="46"/>
      <c r="N87" s="122">
        <v>198</v>
      </c>
    </row>
    <row r="88" spans="1:14" s="48" customFormat="1" ht="15.75">
      <c r="A88" s="59">
        <v>50</v>
      </c>
      <c r="B88" s="75" t="s">
        <v>402</v>
      </c>
      <c r="C88" s="101">
        <f t="shared" si="5"/>
        <v>1</v>
      </c>
      <c r="D88" s="45"/>
      <c r="E88" s="128">
        <v>1</v>
      </c>
      <c r="F88" s="101">
        <f t="shared" si="6"/>
        <v>143</v>
      </c>
      <c r="G88" s="46"/>
      <c r="H88" s="128">
        <v>143</v>
      </c>
      <c r="I88" s="101">
        <f t="shared" si="7"/>
        <v>1</v>
      </c>
      <c r="J88" s="46"/>
      <c r="K88" s="128">
        <v>1</v>
      </c>
      <c r="L88" s="101">
        <f t="shared" si="8"/>
        <v>79</v>
      </c>
      <c r="M88" s="46"/>
      <c r="N88" s="128">
        <v>79</v>
      </c>
    </row>
    <row r="89" spans="1:14" s="48" customFormat="1" ht="15.75">
      <c r="A89" s="59">
        <v>51</v>
      </c>
      <c r="B89" s="75" t="s">
        <v>403</v>
      </c>
      <c r="C89" s="101">
        <f t="shared" si="5"/>
        <v>0</v>
      </c>
      <c r="D89" s="45"/>
      <c r="E89" s="122">
        <v>0</v>
      </c>
      <c r="F89" s="101">
        <f t="shared" si="6"/>
        <v>49</v>
      </c>
      <c r="G89" s="46"/>
      <c r="H89" s="122">
        <v>49</v>
      </c>
      <c r="I89" s="101">
        <f t="shared" si="7"/>
        <v>0</v>
      </c>
      <c r="J89" s="46"/>
      <c r="K89" s="122">
        <v>0</v>
      </c>
      <c r="L89" s="101">
        <f t="shared" si="8"/>
        <v>0</v>
      </c>
      <c r="M89" s="46"/>
      <c r="N89" s="122">
        <v>0</v>
      </c>
    </row>
    <row r="90" spans="1:14" s="48" customFormat="1" ht="15.75">
      <c r="A90" s="59">
        <v>52</v>
      </c>
      <c r="B90" s="75" t="s">
        <v>404</v>
      </c>
      <c r="C90" s="101">
        <f t="shared" si="5"/>
        <v>0</v>
      </c>
      <c r="D90" s="45"/>
      <c r="E90" s="128">
        <v>0</v>
      </c>
      <c r="F90" s="101">
        <f t="shared" si="6"/>
        <v>178</v>
      </c>
      <c r="G90" s="46"/>
      <c r="H90" s="128">
        <v>178</v>
      </c>
      <c r="I90" s="101">
        <f t="shared" si="7"/>
        <v>0</v>
      </c>
      <c r="J90" s="46"/>
      <c r="K90" s="128">
        <v>0</v>
      </c>
      <c r="L90" s="101">
        <f t="shared" si="8"/>
        <v>91</v>
      </c>
      <c r="M90" s="46"/>
      <c r="N90" s="128">
        <v>91</v>
      </c>
    </row>
    <row r="91" spans="1:14" s="48" customFormat="1" ht="15.75">
      <c r="A91" s="59">
        <v>53</v>
      </c>
      <c r="B91" s="75" t="s">
        <v>405</v>
      </c>
      <c r="C91" s="101">
        <f t="shared" si="5"/>
        <v>0</v>
      </c>
      <c r="D91" s="45"/>
      <c r="E91" s="122">
        <v>0</v>
      </c>
      <c r="F91" s="101">
        <f t="shared" si="6"/>
        <v>40</v>
      </c>
      <c r="G91" s="46"/>
      <c r="H91" s="122">
        <v>40</v>
      </c>
      <c r="I91" s="101">
        <f t="shared" si="7"/>
        <v>0</v>
      </c>
      <c r="J91" s="46"/>
      <c r="K91" s="122">
        <v>0</v>
      </c>
      <c r="L91" s="101">
        <f t="shared" si="8"/>
        <v>159</v>
      </c>
      <c r="M91" s="46"/>
      <c r="N91" s="122">
        <v>159</v>
      </c>
    </row>
    <row r="92" spans="1:14" s="48" customFormat="1" ht="15.75">
      <c r="A92" s="59">
        <v>54</v>
      </c>
      <c r="B92" s="75" t="s">
        <v>406</v>
      </c>
      <c r="C92" s="101">
        <f t="shared" si="5"/>
        <v>6</v>
      </c>
      <c r="D92" s="45"/>
      <c r="E92" s="122">
        <v>6</v>
      </c>
      <c r="F92" s="101">
        <f t="shared" si="6"/>
        <v>79</v>
      </c>
      <c r="G92" s="46"/>
      <c r="H92" s="122">
        <v>79</v>
      </c>
      <c r="I92" s="101">
        <f t="shared" si="7"/>
        <v>3</v>
      </c>
      <c r="J92" s="46"/>
      <c r="K92" s="122">
        <v>3</v>
      </c>
      <c r="L92" s="101">
        <f t="shared" si="8"/>
        <v>6</v>
      </c>
      <c r="M92" s="46"/>
      <c r="N92" s="122">
        <v>6</v>
      </c>
    </row>
    <row r="93" spans="1:14" s="48" customFormat="1" ht="15.75">
      <c r="A93" s="59">
        <v>55</v>
      </c>
      <c r="B93" s="75" t="s">
        <v>407</v>
      </c>
      <c r="C93" s="101">
        <f t="shared" si="5"/>
        <v>0</v>
      </c>
      <c r="D93" s="45"/>
      <c r="E93" s="122">
        <v>0</v>
      </c>
      <c r="F93" s="101">
        <f t="shared" si="6"/>
        <v>117</v>
      </c>
      <c r="G93" s="46"/>
      <c r="H93" s="122">
        <v>117</v>
      </c>
      <c r="I93" s="101">
        <f t="shared" si="7"/>
        <v>0</v>
      </c>
      <c r="J93" s="46"/>
      <c r="K93" s="122">
        <v>0</v>
      </c>
      <c r="L93" s="101">
        <f t="shared" si="8"/>
        <v>74</v>
      </c>
      <c r="M93" s="46"/>
      <c r="N93" s="122">
        <v>74</v>
      </c>
    </row>
    <row r="94" spans="1:14" s="48" customFormat="1" ht="15.75">
      <c r="A94" s="59">
        <v>56</v>
      </c>
      <c r="B94" s="75" t="s">
        <v>408</v>
      </c>
      <c r="C94" s="101">
        <f t="shared" si="5"/>
        <v>0</v>
      </c>
      <c r="D94" s="45"/>
      <c r="E94" s="122"/>
      <c r="F94" s="101">
        <f t="shared" si="6"/>
        <v>56</v>
      </c>
      <c r="G94" s="46"/>
      <c r="H94" s="122">
        <v>56</v>
      </c>
      <c r="I94" s="101">
        <f t="shared" si="7"/>
        <v>0</v>
      </c>
      <c r="J94" s="46"/>
      <c r="K94" s="122"/>
      <c r="L94" s="101">
        <f t="shared" si="8"/>
        <v>48</v>
      </c>
      <c r="M94" s="46"/>
      <c r="N94" s="122">
        <v>48</v>
      </c>
    </row>
    <row r="95" spans="1:14" s="48" customFormat="1" ht="15.75">
      <c r="A95" s="59">
        <v>57</v>
      </c>
      <c r="B95" s="75" t="s">
        <v>409</v>
      </c>
      <c r="C95" s="101">
        <f t="shared" si="5"/>
        <v>4</v>
      </c>
      <c r="D95" s="45"/>
      <c r="E95" s="122">
        <v>4</v>
      </c>
      <c r="F95" s="101">
        <f t="shared" si="6"/>
        <v>383</v>
      </c>
      <c r="G95" s="46"/>
      <c r="H95" s="122">
        <v>383</v>
      </c>
      <c r="I95" s="101">
        <f t="shared" si="7"/>
        <v>4</v>
      </c>
      <c r="J95" s="46"/>
      <c r="K95" s="122">
        <v>4</v>
      </c>
      <c r="L95" s="101">
        <f t="shared" si="8"/>
        <v>248</v>
      </c>
      <c r="M95" s="46"/>
      <c r="N95" s="122">
        <v>248</v>
      </c>
    </row>
    <row r="96" spans="1:14" s="49" customFormat="1" ht="15.75">
      <c r="A96" s="59">
        <v>58</v>
      </c>
      <c r="B96" s="75" t="s">
        <v>410</v>
      </c>
      <c r="C96" s="101">
        <f t="shared" si="5"/>
        <v>0</v>
      </c>
      <c r="D96" s="45"/>
      <c r="E96" s="122"/>
      <c r="F96" s="101">
        <f t="shared" si="6"/>
        <v>53</v>
      </c>
      <c r="G96" s="46"/>
      <c r="H96" s="122">
        <v>53</v>
      </c>
      <c r="I96" s="101">
        <f t="shared" si="7"/>
        <v>0</v>
      </c>
      <c r="J96" s="46"/>
      <c r="K96" s="122"/>
      <c r="L96" s="101">
        <f t="shared" si="8"/>
        <v>39</v>
      </c>
      <c r="M96" s="46"/>
      <c r="N96" s="122">
        <v>39</v>
      </c>
    </row>
    <row r="97" spans="1:14" s="48" customFormat="1" ht="15.75">
      <c r="A97" s="59">
        <v>59</v>
      </c>
      <c r="B97" s="75" t="s">
        <v>411</v>
      </c>
      <c r="C97" s="101">
        <f t="shared" si="5"/>
        <v>0</v>
      </c>
      <c r="D97" s="45"/>
      <c r="E97" s="122">
        <v>0</v>
      </c>
      <c r="F97" s="101">
        <f t="shared" si="6"/>
        <v>94</v>
      </c>
      <c r="G97" s="46"/>
      <c r="H97" s="122">
        <v>94</v>
      </c>
      <c r="I97" s="101">
        <f t="shared" si="7"/>
        <v>0</v>
      </c>
      <c r="J97" s="46"/>
      <c r="K97" s="122">
        <v>0</v>
      </c>
      <c r="L97" s="101">
        <f t="shared" si="8"/>
        <v>61</v>
      </c>
      <c r="M97" s="46"/>
      <c r="N97" s="122">
        <v>61</v>
      </c>
    </row>
    <row r="98" spans="1:14" s="48" customFormat="1" ht="15.75">
      <c r="A98" s="59">
        <v>60</v>
      </c>
      <c r="B98" s="75" t="s">
        <v>412</v>
      </c>
      <c r="C98" s="101">
        <f t="shared" si="5"/>
        <v>0</v>
      </c>
      <c r="D98" s="45"/>
      <c r="E98" s="128">
        <v>0</v>
      </c>
      <c r="F98" s="101">
        <f t="shared" si="6"/>
        <v>10</v>
      </c>
      <c r="G98" s="46"/>
      <c r="H98" s="128">
        <v>10</v>
      </c>
      <c r="I98" s="101">
        <f t="shared" si="7"/>
        <v>0</v>
      </c>
      <c r="J98" s="46"/>
      <c r="K98" s="128">
        <v>0</v>
      </c>
      <c r="L98" s="101">
        <f t="shared" si="8"/>
        <v>6</v>
      </c>
      <c r="M98" s="46"/>
      <c r="N98" s="128">
        <v>6</v>
      </c>
    </row>
    <row r="99" spans="1:14" s="48" customFormat="1" ht="15.75">
      <c r="A99" s="59">
        <v>61</v>
      </c>
      <c r="B99" s="75" t="s">
        <v>413</v>
      </c>
      <c r="C99" s="101">
        <f t="shared" si="5"/>
        <v>1</v>
      </c>
      <c r="D99" s="45"/>
      <c r="E99" s="128">
        <v>1</v>
      </c>
      <c r="F99" s="101">
        <f t="shared" si="6"/>
        <v>88</v>
      </c>
      <c r="G99" s="46"/>
      <c r="H99" s="128">
        <v>88</v>
      </c>
      <c r="I99" s="101">
        <f t="shared" si="7"/>
        <v>1</v>
      </c>
      <c r="J99" s="46"/>
      <c r="K99" s="128">
        <v>1</v>
      </c>
      <c r="L99" s="101">
        <f t="shared" si="8"/>
        <v>24</v>
      </c>
      <c r="M99" s="46"/>
      <c r="N99" s="128">
        <v>24</v>
      </c>
    </row>
    <row r="100" spans="1:14" s="48" customFormat="1" ht="19.5" customHeight="1">
      <c r="A100" s="59">
        <v>62</v>
      </c>
      <c r="B100" s="75" t="s">
        <v>414</v>
      </c>
      <c r="C100" s="101">
        <f t="shared" si="5"/>
        <v>63</v>
      </c>
      <c r="D100" s="45"/>
      <c r="E100" s="122">
        <v>63</v>
      </c>
      <c r="F100" s="101">
        <f t="shared" si="6"/>
        <v>297</v>
      </c>
      <c r="G100" s="46"/>
      <c r="H100" s="122">
        <v>297</v>
      </c>
      <c r="I100" s="101">
        <f t="shared" si="7"/>
        <v>7</v>
      </c>
      <c r="J100" s="46"/>
      <c r="K100" s="122">
        <v>7</v>
      </c>
      <c r="L100" s="101">
        <f t="shared" si="8"/>
        <v>49</v>
      </c>
      <c r="M100" s="46"/>
      <c r="N100" s="122">
        <v>49</v>
      </c>
    </row>
    <row r="101" spans="1:14" s="48" customFormat="1" ht="15.75">
      <c r="A101" s="59">
        <v>63</v>
      </c>
      <c r="B101" s="75" t="s">
        <v>415</v>
      </c>
      <c r="C101" s="101">
        <f t="shared" si="5"/>
        <v>1</v>
      </c>
      <c r="D101" s="45"/>
      <c r="E101" s="122">
        <v>1</v>
      </c>
      <c r="F101" s="101">
        <f t="shared" si="6"/>
        <v>1</v>
      </c>
      <c r="G101" s="46"/>
      <c r="H101" s="122">
        <v>1</v>
      </c>
      <c r="I101" s="101">
        <f t="shared" si="7"/>
        <v>1</v>
      </c>
      <c r="J101" s="46"/>
      <c r="K101" s="122">
        <v>1</v>
      </c>
      <c r="L101" s="101">
        <f t="shared" si="8"/>
        <v>0</v>
      </c>
      <c r="M101" s="46"/>
      <c r="N101" s="122">
        <v>0</v>
      </c>
    </row>
    <row r="102" spans="1:14" s="22" customFormat="1" ht="15.75">
      <c r="A102"/>
      <c r="B102" s="50"/>
      <c r="C102" s="13"/>
      <c r="D102" s="13"/>
      <c r="E102"/>
      <c r="F102"/>
      <c r="G102"/>
      <c r="H102"/>
      <c r="I102"/>
      <c r="J102"/>
      <c r="K102"/>
      <c r="L102"/>
      <c r="M102"/>
      <c r="N102"/>
    </row>
    <row r="103" spans="1:12" s="89" customFormat="1" ht="18" customHeight="1">
      <c r="A103" s="50"/>
      <c r="B103" s="50" t="s">
        <v>342</v>
      </c>
      <c r="C103" s="56" t="s">
        <v>505</v>
      </c>
      <c r="D103" s="56"/>
      <c r="E103" s="56"/>
      <c r="F103" s="56"/>
      <c r="G103" s="50"/>
      <c r="H103" s="50"/>
      <c r="I103" s="50"/>
      <c r="J103" s="50"/>
      <c r="K103" s="88"/>
      <c r="L103" s="88"/>
    </row>
    <row r="104" spans="1:10" s="87" customFormat="1" ht="18" customHeight="1">
      <c r="A104" s="50"/>
      <c r="B104" s="50" t="s">
        <v>343</v>
      </c>
      <c r="C104" s="50" t="s">
        <v>344</v>
      </c>
      <c r="E104" s="50"/>
      <c r="F104" s="50"/>
      <c r="G104" s="50"/>
      <c r="H104" s="50"/>
      <c r="I104" s="50"/>
      <c r="J104" s="50"/>
    </row>
    <row r="105" spans="1:10" s="87" customFormat="1" ht="18" customHeight="1">
      <c r="A105" s="50"/>
      <c r="B105" s="50" t="s">
        <v>345</v>
      </c>
      <c r="C105" s="50" t="s">
        <v>346</v>
      </c>
      <c r="E105" s="50"/>
      <c r="F105" s="50"/>
      <c r="G105" s="50"/>
      <c r="H105" s="50"/>
      <c r="I105" s="50"/>
      <c r="J105" s="50"/>
    </row>
    <row r="106" spans="1:20" s="22" customFormat="1" ht="15.75">
      <c r="A106"/>
      <c r="B106" s="142"/>
      <c r="C106" s="120" t="s">
        <v>493</v>
      </c>
      <c r="D106" s="13"/>
      <c r="E106"/>
      <c r="F106"/>
      <c r="G106"/>
      <c r="H106"/>
      <c r="I106"/>
      <c r="J106"/>
      <c r="K106"/>
      <c r="L106"/>
      <c r="M106"/>
      <c r="N106"/>
      <c r="O106"/>
      <c r="P106"/>
      <c r="Q106"/>
      <c r="R106"/>
      <c r="S106"/>
      <c r="T106" s="13"/>
    </row>
    <row r="107" spans="1:20" s="22" customFormat="1" ht="15.75">
      <c r="A107"/>
      <c r="B107" s="90"/>
      <c r="C107" s="50" t="s">
        <v>430</v>
      </c>
      <c r="D107" s="13"/>
      <c r="E107"/>
      <c r="F107"/>
      <c r="G107"/>
      <c r="H107"/>
      <c r="I107"/>
      <c r="J107"/>
      <c r="K107"/>
      <c r="L107"/>
      <c r="M107"/>
      <c r="N107"/>
      <c r="O107"/>
      <c r="P107"/>
      <c r="Q107"/>
      <c r="R107"/>
      <c r="S107"/>
      <c r="T107" s="13"/>
    </row>
    <row r="108" spans="1:20" s="22" customFormat="1" ht="15.75">
      <c r="A108"/>
      <c r="B108" s="91"/>
      <c r="C108" s="50" t="s">
        <v>429</v>
      </c>
      <c r="D108" s="13"/>
      <c r="E108"/>
      <c r="F108"/>
      <c r="G108"/>
      <c r="H108"/>
      <c r="I108"/>
      <c r="J108"/>
      <c r="K108"/>
      <c r="L108"/>
      <c r="M108"/>
      <c r="N108"/>
      <c r="O108"/>
      <c r="P108"/>
      <c r="Q108"/>
      <c r="R108"/>
      <c r="S108"/>
      <c r="T108" s="13"/>
    </row>
    <row r="109" spans="1:20" s="38" customFormat="1" ht="15.75">
      <c r="A109"/>
      <c r="B109" s="143"/>
      <c r="C109" s="86" t="s">
        <v>495</v>
      </c>
      <c r="D109" s="13"/>
      <c r="E109"/>
      <c r="F109"/>
      <c r="G109"/>
      <c r="H109"/>
      <c r="I109"/>
      <c r="J109"/>
      <c r="K109"/>
      <c r="L109"/>
      <c r="M109"/>
      <c r="N109"/>
      <c r="O109"/>
      <c r="P109"/>
      <c r="Q109"/>
      <c r="R109"/>
      <c r="S109"/>
      <c r="T109" s="13"/>
    </row>
    <row r="110" spans="1:20" s="22" customFormat="1" ht="16.5" customHeight="1">
      <c r="A110"/>
      <c r="B110" s="50"/>
      <c r="C110" s="13"/>
      <c r="D110" s="13"/>
      <c r="E110"/>
      <c r="F110"/>
      <c r="G110"/>
      <c r="H110"/>
      <c r="I110"/>
      <c r="J110"/>
      <c r="K110"/>
      <c r="L110"/>
      <c r="M110"/>
      <c r="N110"/>
      <c r="O110"/>
      <c r="P110"/>
      <c r="Q110"/>
      <c r="R110"/>
      <c r="S110"/>
      <c r="T110" s="13"/>
    </row>
    <row r="111" spans="1:20" s="22" customFormat="1" ht="15.75">
      <c r="A111"/>
      <c r="B111" s="50"/>
      <c r="C111" s="13"/>
      <c r="D111" s="13"/>
      <c r="E111"/>
      <c r="F111"/>
      <c r="G111"/>
      <c r="H111"/>
      <c r="I111"/>
      <c r="J111"/>
      <c r="K111"/>
      <c r="L111"/>
      <c r="M111"/>
      <c r="N111"/>
      <c r="O111"/>
      <c r="P111"/>
      <c r="Q111"/>
      <c r="R111"/>
      <c r="S111"/>
      <c r="T111" s="13"/>
    </row>
    <row r="112" spans="1:20" s="22" customFormat="1" ht="15.75">
      <c r="A112"/>
      <c r="B112" s="50"/>
      <c r="C112" s="13"/>
      <c r="D112" s="13"/>
      <c r="E112"/>
      <c r="F112"/>
      <c r="G112"/>
      <c r="H112"/>
      <c r="I112"/>
      <c r="J112"/>
      <c r="K112"/>
      <c r="L112"/>
      <c r="M112"/>
      <c r="N112"/>
      <c r="O112"/>
      <c r="P112"/>
      <c r="Q112"/>
      <c r="R112"/>
      <c r="S112"/>
      <c r="T112" s="13"/>
    </row>
    <row r="113" spans="1:14" s="22" customFormat="1" ht="15.75">
      <c r="A113"/>
      <c r="B113" s="50"/>
      <c r="C113" s="13"/>
      <c r="D113" s="13"/>
      <c r="E113"/>
      <c r="F113"/>
      <c r="G113"/>
      <c r="H113"/>
      <c r="I113"/>
      <c r="J113"/>
      <c r="K113"/>
      <c r="L113"/>
      <c r="M113"/>
      <c r="N113"/>
    </row>
    <row r="114" spans="1:14" s="38" customFormat="1" ht="15.75">
      <c r="A114"/>
      <c r="B114" s="50"/>
      <c r="C114" s="13"/>
      <c r="D114" s="13"/>
      <c r="E114"/>
      <c r="F114"/>
      <c r="G114"/>
      <c r="H114"/>
      <c r="I114"/>
      <c r="J114"/>
      <c r="K114"/>
      <c r="L114"/>
      <c r="M114"/>
      <c r="N114"/>
    </row>
    <row r="115" spans="1:14" s="22" customFormat="1" ht="16.5" customHeight="1">
      <c r="A115"/>
      <c r="B115" s="50"/>
      <c r="C115" s="13"/>
      <c r="D115" s="13"/>
      <c r="E115"/>
      <c r="F115"/>
      <c r="G115"/>
      <c r="H115"/>
      <c r="I115"/>
      <c r="J115"/>
      <c r="K115"/>
      <c r="L115"/>
      <c r="M115"/>
      <c r="N115"/>
    </row>
    <row r="116" spans="1:14" s="22" customFormat="1" ht="15.75">
      <c r="A116"/>
      <c r="B116" s="50"/>
      <c r="C116" s="13"/>
      <c r="D116" s="13"/>
      <c r="E116"/>
      <c r="F116"/>
      <c r="G116"/>
      <c r="H116"/>
      <c r="I116"/>
      <c r="J116"/>
      <c r="K116"/>
      <c r="L116"/>
      <c r="M116"/>
      <c r="N116"/>
    </row>
    <row r="117" spans="1:14" s="22" customFormat="1" ht="15.75">
      <c r="A117"/>
      <c r="B117" s="50"/>
      <c r="C117" s="13"/>
      <c r="D117" s="13"/>
      <c r="E117"/>
      <c r="F117"/>
      <c r="G117"/>
      <c r="H117"/>
      <c r="I117"/>
      <c r="J117"/>
      <c r="K117"/>
      <c r="L117"/>
      <c r="M117"/>
      <c r="N117"/>
    </row>
    <row r="118" spans="1:14" s="22" customFormat="1" ht="15.75">
      <c r="A118"/>
      <c r="B118" s="50"/>
      <c r="C118" s="13"/>
      <c r="D118" s="13"/>
      <c r="E118"/>
      <c r="F118"/>
      <c r="G118"/>
      <c r="H118"/>
      <c r="I118"/>
      <c r="J118"/>
      <c r="K118"/>
      <c r="L118"/>
      <c r="M118"/>
      <c r="N118"/>
    </row>
    <row r="119" spans="1:14" s="22" customFormat="1" ht="15.75">
      <c r="A119"/>
      <c r="B119" s="50"/>
      <c r="C119" s="13"/>
      <c r="D119" s="13"/>
      <c r="E119"/>
      <c r="F119"/>
      <c r="G119"/>
      <c r="H119"/>
      <c r="I119"/>
      <c r="J119"/>
      <c r="K119"/>
      <c r="L119"/>
      <c r="M119"/>
      <c r="N119"/>
    </row>
    <row r="120" spans="1:14" s="22" customFormat="1" ht="15.75">
      <c r="A120"/>
      <c r="B120" s="50"/>
      <c r="C120" s="13"/>
      <c r="D120" s="13"/>
      <c r="E120"/>
      <c r="F120"/>
      <c r="G120"/>
      <c r="H120"/>
      <c r="I120"/>
      <c r="J120"/>
      <c r="K120"/>
      <c r="L120"/>
      <c r="M120"/>
      <c r="N120"/>
    </row>
    <row r="121" spans="1:14" s="22" customFormat="1" ht="15.75">
      <c r="A121"/>
      <c r="B121" s="50"/>
      <c r="C121" s="13"/>
      <c r="D121" s="13"/>
      <c r="E121"/>
      <c r="F121"/>
      <c r="G121"/>
      <c r="H121"/>
      <c r="I121"/>
      <c r="J121"/>
      <c r="K121"/>
      <c r="L121"/>
      <c r="M121"/>
      <c r="N121"/>
    </row>
    <row r="122" spans="1:14" s="22" customFormat="1" ht="15.75">
      <c r="A122"/>
      <c r="B122" s="50"/>
      <c r="C122" s="13"/>
      <c r="D122" s="13"/>
      <c r="E122"/>
      <c r="F122"/>
      <c r="G122"/>
      <c r="H122"/>
      <c r="I122"/>
      <c r="J122"/>
      <c r="K122"/>
      <c r="L122"/>
      <c r="M122"/>
      <c r="N122"/>
    </row>
    <row r="123" spans="1:14" s="22" customFormat="1" ht="15.75">
      <c r="A123"/>
      <c r="B123" s="50"/>
      <c r="C123" s="13"/>
      <c r="D123" s="13"/>
      <c r="E123"/>
      <c r="F123"/>
      <c r="G123"/>
      <c r="H123"/>
      <c r="I123"/>
      <c r="J123"/>
      <c r="K123"/>
      <c r="L123"/>
      <c r="M123"/>
      <c r="N123"/>
    </row>
    <row r="124" spans="1:14" s="22" customFormat="1" ht="15.75">
      <c r="A124"/>
      <c r="B124" s="50"/>
      <c r="C124" s="13"/>
      <c r="D124" s="13"/>
      <c r="E124"/>
      <c r="F124"/>
      <c r="G124"/>
      <c r="H124"/>
      <c r="I124"/>
      <c r="J124"/>
      <c r="K124"/>
      <c r="L124"/>
      <c r="M124"/>
      <c r="N124"/>
    </row>
    <row r="125" spans="1:14" s="39" customFormat="1" ht="15.75">
      <c r="A125"/>
      <c r="B125" s="50"/>
      <c r="C125" s="13"/>
      <c r="D125" s="13"/>
      <c r="E125"/>
      <c r="F125"/>
      <c r="G125"/>
      <c r="H125"/>
      <c r="I125"/>
      <c r="J125"/>
      <c r="K125"/>
      <c r="L125"/>
      <c r="M125"/>
      <c r="N125"/>
    </row>
    <row r="126" spans="1:14" s="22" customFormat="1" ht="15.75">
      <c r="A126"/>
      <c r="B126" s="50"/>
      <c r="C126" s="13"/>
      <c r="D126" s="13"/>
      <c r="E126"/>
      <c r="F126"/>
      <c r="G126"/>
      <c r="H126"/>
      <c r="I126"/>
      <c r="J126"/>
      <c r="K126"/>
      <c r="L126"/>
      <c r="M126"/>
      <c r="N126"/>
    </row>
    <row r="127" spans="1:14" s="22" customFormat="1" ht="15.75">
      <c r="A127"/>
      <c r="B127" s="50"/>
      <c r="C127" s="13"/>
      <c r="D127" s="13"/>
      <c r="E127"/>
      <c r="F127"/>
      <c r="G127"/>
      <c r="H127"/>
      <c r="I127"/>
      <c r="J127"/>
      <c r="K127"/>
      <c r="L127"/>
      <c r="M127"/>
      <c r="N127"/>
    </row>
    <row r="128" spans="1:14" s="40" customFormat="1" ht="15.75">
      <c r="A128"/>
      <c r="B128" s="50"/>
      <c r="C128" s="13"/>
      <c r="D128" s="13"/>
      <c r="E128"/>
      <c r="F128"/>
      <c r="G128"/>
      <c r="H128"/>
      <c r="I128"/>
      <c r="J128"/>
      <c r="K128"/>
      <c r="L128"/>
      <c r="M128"/>
      <c r="N128"/>
    </row>
    <row r="129" spans="1:14" s="39" customFormat="1" ht="15.75">
      <c r="A129"/>
      <c r="B129" s="50"/>
      <c r="C129" s="13"/>
      <c r="D129" s="13"/>
      <c r="E129"/>
      <c r="F129"/>
      <c r="G129"/>
      <c r="H129"/>
      <c r="I129"/>
      <c r="J129"/>
      <c r="K129"/>
      <c r="L129"/>
      <c r="M129"/>
      <c r="N129"/>
    </row>
    <row r="130" spans="1:14" s="22" customFormat="1" ht="15.75">
      <c r="A130"/>
      <c r="B130" s="50"/>
      <c r="C130" s="13"/>
      <c r="D130" s="13"/>
      <c r="E130"/>
      <c r="F130"/>
      <c r="G130"/>
      <c r="H130"/>
      <c r="I130"/>
      <c r="J130"/>
      <c r="K130"/>
      <c r="L130"/>
      <c r="M130"/>
      <c r="N130"/>
    </row>
    <row r="131" spans="1:14" s="22" customFormat="1" ht="15.75">
      <c r="A131"/>
      <c r="B131" s="50"/>
      <c r="C131" s="13"/>
      <c r="D131" s="13"/>
      <c r="E131"/>
      <c r="F131"/>
      <c r="G131"/>
      <c r="H131"/>
      <c r="I131"/>
      <c r="J131"/>
      <c r="K131"/>
      <c r="L131"/>
      <c r="M131"/>
      <c r="N131"/>
    </row>
    <row r="132" spans="1:14" s="39" customFormat="1" ht="15.75">
      <c r="A132"/>
      <c r="B132" s="50"/>
      <c r="C132" s="13"/>
      <c r="D132" s="13"/>
      <c r="E132"/>
      <c r="F132"/>
      <c r="G132"/>
      <c r="H132"/>
      <c r="I132"/>
      <c r="J132"/>
      <c r="K132"/>
      <c r="L132"/>
      <c r="M132"/>
      <c r="N132"/>
    </row>
    <row r="133" spans="1:14" s="22" customFormat="1" ht="15.75">
      <c r="A133"/>
      <c r="B133" s="50"/>
      <c r="C133" s="13"/>
      <c r="D133" s="13"/>
      <c r="E133"/>
      <c r="F133"/>
      <c r="G133"/>
      <c r="H133"/>
      <c r="I133"/>
      <c r="J133"/>
      <c r="K133"/>
      <c r="L133"/>
      <c r="M133"/>
      <c r="N133"/>
    </row>
    <row r="134" spans="1:14" s="22" customFormat="1" ht="15.75">
      <c r="A134"/>
      <c r="B134" s="50"/>
      <c r="C134" s="13"/>
      <c r="D134" s="13"/>
      <c r="E134"/>
      <c r="F134"/>
      <c r="G134"/>
      <c r="H134"/>
      <c r="I134"/>
      <c r="J134"/>
      <c r="K134"/>
      <c r="L134"/>
      <c r="M134"/>
      <c r="N134"/>
    </row>
    <row r="135" spans="1:14" s="22" customFormat="1" ht="15.75">
      <c r="A135"/>
      <c r="B135" s="50"/>
      <c r="C135" s="13"/>
      <c r="D135" s="13"/>
      <c r="E135"/>
      <c r="F135"/>
      <c r="G135"/>
      <c r="H135"/>
      <c r="I135"/>
      <c r="J135"/>
      <c r="K135"/>
      <c r="L135"/>
      <c r="M135"/>
      <c r="N135"/>
    </row>
    <row r="136" spans="1:14" s="22" customFormat="1" ht="15.75">
      <c r="A136"/>
      <c r="B136" s="50"/>
      <c r="C136" s="13"/>
      <c r="D136" s="13"/>
      <c r="E136"/>
      <c r="F136"/>
      <c r="G136"/>
      <c r="H136"/>
      <c r="I136"/>
      <c r="J136"/>
      <c r="K136"/>
      <c r="L136"/>
      <c r="M136"/>
      <c r="N136"/>
    </row>
    <row r="137" spans="1:14" s="39" customFormat="1" ht="15.75">
      <c r="A137"/>
      <c r="B137" s="50"/>
      <c r="C137" s="13"/>
      <c r="D137" s="13"/>
      <c r="E137"/>
      <c r="F137"/>
      <c r="G137"/>
      <c r="H137"/>
      <c r="I137"/>
      <c r="J137"/>
      <c r="K137"/>
      <c r="L137"/>
      <c r="M137"/>
      <c r="N137"/>
    </row>
    <row r="138" spans="1:14" s="22" customFormat="1" ht="15.75">
      <c r="A138"/>
      <c r="B138" s="50"/>
      <c r="C138" s="13"/>
      <c r="D138" s="13"/>
      <c r="E138"/>
      <c r="F138"/>
      <c r="G138"/>
      <c r="H138"/>
      <c r="I138"/>
      <c r="J138"/>
      <c r="K138"/>
      <c r="L138"/>
      <c r="M138"/>
      <c r="N138"/>
    </row>
    <row r="139" spans="1:14" s="22" customFormat="1" ht="15.75">
      <c r="A139"/>
      <c r="B139" s="50"/>
      <c r="C139" s="13"/>
      <c r="D139" s="13"/>
      <c r="E139"/>
      <c r="F139"/>
      <c r="G139"/>
      <c r="H139"/>
      <c r="I139"/>
      <c r="J139"/>
      <c r="K139"/>
      <c r="L139"/>
      <c r="M139"/>
      <c r="N139"/>
    </row>
    <row r="140" spans="1:14" s="22" customFormat="1" ht="15.75">
      <c r="A140"/>
      <c r="B140" s="50"/>
      <c r="C140" s="13"/>
      <c r="D140" s="13"/>
      <c r="E140"/>
      <c r="F140"/>
      <c r="G140"/>
      <c r="H140"/>
      <c r="I140"/>
      <c r="J140"/>
      <c r="K140"/>
      <c r="L140"/>
      <c r="M140"/>
      <c r="N140"/>
    </row>
    <row r="141" spans="1:14" s="22" customFormat="1" ht="15.75">
      <c r="A141"/>
      <c r="B141" s="50"/>
      <c r="C141" s="13"/>
      <c r="D141" s="13"/>
      <c r="E141"/>
      <c r="F141"/>
      <c r="G141"/>
      <c r="H141"/>
      <c r="I141"/>
      <c r="J141"/>
      <c r="K141"/>
      <c r="L141"/>
      <c r="M141"/>
      <c r="N141"/>
    </row>
    <row r="142" spans="1:14" s="22" customFormat="1" ht="15.75">
      <c r="A142"/>
      <c r="B142" s="50"/>
      <c r="C142" s="13"/>
      <c r="D142" s="13"/>
      <c r="E142"/>
      <c r="F142"/>
      <c r="G142"/>
      <c r="H142"/>
      <c r="I142"/>
      <c r="J142"/>
      <c r="K142"/>
      <c r="L142"/>
      <c r="M142"/>
      <c r="N142"/>
    </row>
    <row r="143" spans="1:14" s="22" customFormat="1" ht="15.75">
      <c r="A143"/>
      <c r="B143" s="50"/>
      <c r="C143" s="13"/>
      <c r="D143" s="13"/>
      <c r="E143"/>
      <c r="F143"/>
      <c r="G143"/>
      <c r="H143"/>
      <c r="I143"/>
      <c r="J143"/>
      <c r="K143"/>
      <c r="L143"/>
      <c r="M143"/>
      <c r="N143"/>
    </row>
    <row r="144" spans="1:14" s="39" customFormat="1" ht="15.75">
      <c r="A144"/>
      <c r="B144" s="50"/>
      <c r="C144" s="13"/>
      <c r="D144" s="13"/>
      <c r="E144"/>
      <c r="F144"/>
      <c r="G144"/>
      <c r="H144"/>
      <c r="I144"/>
      <c r="J144"/>
      <c r="K144"/>
      <c r="L144"/>
      <c r="M144"/>
      <c r="N144"/>
    </row>
    <row r="145" spans="1:14" s="22" customFormat="1" ht="15.75">
      <c r="A145"/>
      <c r="B145" s="50"/>
      <c r="C145" s="13"/>
      <c r="D145" s="13"/>
      <c r="E145"/>
      <c r="F145"/>
      <c r="G145"/>
      <c r="H145"/>
      <c r="I145"/>
      <c r="J145"/>
      <c r="K145"/>
      <c r="L145"/>
      <c r="M145"/>
      <c r="N145"/>
    </row>
    <row r="146" spans="1:14" s="38" customFormat="1" ht="15.75">
      <c r="A146"/>
      <c r="B146" s="50"/>
      <c r="C146" s="13"/>
      <c r="D146" s="13"/>
      <c r="E146"/>
      <c r="F146"/>
      <c r="G146"/>
      <c r="H146"/>
      <c r="I146"/>
      <c r="J146"/>
      <c r="K146"/>
      <c r="L146"/>
      <c r="M146"/>
      <c r="N146"/>
    </row>
    <row r="147" spans="1:14" s="39" customFormat="1" ht="15.75">
      <c r="A147"/>
      <c r="B147" s="50"/>
      <c r="C147" s="13"/>
      <c r="D147" s="13"/>
      <c r="E147"/>
      <c r="F147"/>
      <c r="G147"/>
      <c r="H147"/>
      <c r="I147"/>
      <c r="J147"/>
      <c r="K147"/>
      <c r="L147"/>
      <c r="M147"/>
      <c r="N147"/>
    </row>
    <row r="148" s="39" customFormat="1" ht="28.5" customHeight="1">
      <c r="B148" s="51"/>
    </row>
    <row r="149" spans="5:14" ht="15.75">
      <c r="E149"/>
      <c r="F149"/>
      <c r="G149"/>
      <c r="H149"/>
      <c r="I149"/>
      <c r="J149"/>
      <c r="K149"/>
      <c r="L149"/>
      <c r="M149"/>
      <c r="N149"/>
    </row>
    <row r="150" spans="5:14" ht="15.75">
      <c r="E150"/>
      <c r="F150"/>
      <c r="G150"/>
      <c r="H150"/>
      <c r="I150"/>
      <c r="J150"/>
      <c r="K150"/>
      <c r="L150"/>
      <c r="M150"/>
      <c r="N150"/>
    </row>
    <row r="151" spans="5:14" ht="15.75">
      <c r="E151"/>
      <c r="F151"/>
      <c r="G151"/>
      <c r="H151"/>
      <c r="I151"/>
      <c r="J151"/>
      <c r="K151"/>
      <c r="L151"/>
      <c r="M151"/>
      <c r="N151"/>
    </row>
    <row r="152" spans="5:14" ht="15.75">
      <c r="E152"/>
      <c r="F152"/>
      <c r="G152"/>
      <c r="H152"/>
      <c r="I152"/>
      <c r="J152"/>
      <c r="K152"/>
      <c r="L152"/>
      <c r="M152"/>
      <c r="N152"/>
    </row>
    <row r="153" spans="5:14" ht="15.75">
      <c r="E153"/>
      <c r="F153"/>
      <c r="G153"/>
      <c r="H153"/>
      <c r="I153"/>
      <c r="J153"/>
      <c r="K153"/>
      <c r="L153"/>
      <c r="M153"/>
      <c r="N153"/>
    </row>
    <row r="154" spans="5:14" ht="15.75">
      <c r="E154"/>
      <c r="F154"/>
      <c r="G154"/>
      <c r="H154"/>
      <c r="I154"/>
      <c r="J154"/>
      <c r="K154"/>
      <c r="L154"/>
      <c r="M154"/>
      <c r="N154"/>
    </row>
    <row r="155" spans="5:14" ht="15.75">
      <c r="E155"/>
      <c r="F155"/>
      <c r="G155"/>
      <c r="H155"/>
      <c r="I155"/>
      <c r="J155"/>
      <c r="K155"/>
      <c r="L155"/>
      <c r="M155"/>
      <c r="N155"/>
    </row>
    <row r="156" spans="5:14" ht="15.75">
      <c r="E156"/>
      <c r="F156"/>
      <c r="G156"/>
      <c r="H156"/>
      <c r="I156"/>
      <c r="J156"/>
      <c r="K156"/>
      <c r="L156"/>
      <c r="M156"/>
      <c r="N156"/>
    </row>
    <row r="157" spans="5:14" ht="15.75">
      <c r="E157"/>
      <c r="F157"/>
      <c r="G157"/>
      <c r="H157"/>
      <c r="I157"/>
      <c r="J157"/>
      <c r="K157"/>
      <c r="L157"/>
      <c r="M157"/>
      <c r="N157"/>
    </row>
    <row r="158" spans="5:14" ht="15.75">
      <c r="E158"/>
      <c r="F158"/>
      <c r="G158"/>
      <c r="H158"/>
      <c r="I158"/>
      <c r="J158"/>
      <c r="K158"/>
      <c r="L158"/>
      <c r="M158"/>
      <c r="N158"/>
    </row>
    <row r="159" spans="5:14" ht="15.75">
      <c r="E159"/>
      <c r="F159"/>
      <c r="G159"/>
      <c r="H159"/>
      <c r="I159"/>
      <c r="J159"/>
      <c r="K159"/>
      <c r="L159"/>
      <c r="M159"/>
      <c r="N159"/>
    </row>
    <row r="160" spans="5:14" ht="15.75">
      <c r="E160"/>
      <c r="F160"/>
      <c r="G160"/>
      <c r="H160"/>
      <c r="I160"/>
      <c r="J160"/>
      <c r="K160"/>
      <c r="L160"/>
      <c r="M160"/>
      <c r="N160"/>
    </row>
    <row r="161" spans="5:14" ht="15.75">
      <c r="E161"/>
      <c r="F161"/>
      <c r="G161"/>
      <c r="H161"/>
      <c r="I161"/>
      <c r="J161"/>
      <c r="K161"/>
      <c r="L161"/>
      <c r="M161"/>
      <c r="N161"/>
    </row>
    <row r="162" spans="5:14" ht="15.75">
      <c r="E162"/>
      <c r="F162"/>
      <c r="G162"/>
      <c r="H162"/>
      <c r="I162"/>
      <c r="J162"/>
      <c r="K162"/>
      <c r="L162"/>
      <c r="M162"/>
      <c r="N162"/>
    </row>
    <row r="163" spans="5:14" ht="15.75">
      <c r="E163"/>
      <c r="F163"/>
      <c r="G163"/>
      <c r="H163"/>
      <c r="I163"/>
      <c r="J163"/>
      <c r="K163"/>
      <c r="L163"/>
      <c r="M163"/>
      <c r="N163"/>
    </row>
    <row r="164" spans="5:14" ht="15.75">
      <c r="E164"/>
      <c r="F164"/>
      <c r="G164"/>
      <c r="H164"/>
      <c r="I164"/>
      <c r="J164"/>
      <c r="K164"/>
      <c r="L164"/>
      <c r="M164"/>
      <c r="N164"/>
    </row>
    <row r="165" spans="5:14" ht="15.75">
      <c r="E165"/>
      <c r="F165"/>
      <c r="G165"/>
      <c r="H165"/>
      <c r="I165"/>
      <c r="J165"/>
      <c r="K165"/>
      <c r="L165"/>
      <c r="M165"/>
      <c r="N165"/>
    </row>
    <row r="166" spans="5:14" ht="15.75">
      <c r="E166"/>
      <c r="F166"/>
      <c r="G166"/>
      <c r="H166"/>
      <c r="I166"/>
      <c r="J166"/>
      <c r="K166"/>
      <c r="L166"/>
      <c r="M166"/>
      <c r="N166"/>
    </row>
    <row r="167" spans="5:14" ht="15.75">
      <c r="E167"/>
      <c r="F167"/>
      <c r="G167"/>
      <c r="H167"/>
      <c r="I167"/>
      <c r="J167"/>
      <c r="K167"/>
      <c r="L167"/>
      <c r="M167"/>
      <c r="N167"/>
    </row>
    <row r="168" spans="5:14" ht="15.75">
      <c r="E168"/>
      <c r="F168"/>
      <c r="G168"/>
      <c r="H168"/>
      <c r="I168"/>
      <c r="J168"/>
      <c r="K168"/>
      <c r="L168"/>
      <c r="M168"/>
      <c r="N168"/>
    </row>
    <row r="169" spans="5:14" ht="15.75">
      <c r="E169"/>
      <c r="F169"/>
      <c r="G169"/>
      <c r="H169"/>
      <c r="I169"/>
      <c r="J169"/>
      <c r="K169"/>
      <c r="L169"/>
      <c r="M169"/>
      <c r="N169"/>
    </row>
    <row r="170" spans="5:14" ht="15.75">
      <c r="E170"/>
      <c r="F170"/>
      <c r="G170"/>
      <c r="H170"/>
      <c r="I170"/>
      <c r="J170"/>
      <c r="K170"/>
      <c r="L170"/>
      <c r="M170"/>
      <c r="N170"/>
    </row>
    <row r="171" spans="5:14" ht="15.75">
      <c r="E171"/>
      <c r="F171"/>
      <c r="G171"/>
      <c r="H171"/>
      <c r="I171"/>
      <c r="J171"/>
      <c r="K171"/>
      <c r="L171"/>
      <c r="M171"/>
      <c r="N171"/>
    </row>
    <row r="172" spans="5:14" ht="15.75">
      <c r="E172"/>
      <c r="F172"/>
      <c r="G172"/>
      <c r="H172"/>
      <c r="I172"/>
      <c r="J172"/>
      <c r="K172"/>
      <c r="L172"/>
      <c r="M172"/>
      <c r="N172"/>
    </row>
    <row r="173" spans="5:14" ht="15.75">
      <c r="E173"/>
      <c r="F173"/>
      <c r="G173"/>
      <c r="H173"/>
      <c r="I173"/>
      <c r="J173"/>
      <c r="K173"/>
      <c r="L173"/>
      <c r="M173"/>
      <c r="N173"/>
    </row>
    <row r="174" spans="5:14" ht="15.75">
      <c r="E174"/>
      <c r="F174"/>
      <c r="G174"/>
      <c r="H174"/>
      <c r="I174"/>
      <c r="J174"/>
      <c r="K174"/>
      <c r="L174"/>
      <c r="M174"/>
      <c r="N174"/>
    </row>
    <row r="175" spans="5:14" ht="15.75">
      <c r="E175"/>
      <c r="F175"/>
      <c r="G175"/>
      <c r="H175"/>
      <c r="I175"/>
      <c r="J175"/>
      <c r="K175"/>
      <c r="L175"/>
      <c r="M175"/>
      <c r="N175"/>
    </row>
    <row r="176" spans="5:14" ht="15.75">
      <c r="E176"/>
      <c r="F176"/>
      <c r="G176"/>
      <c r="H176"/>
      <c r="I176"/>
      <c r="J176"/>
      <c r="K176"/>
      <c r="L176"/>
      <c r="M176"/>
      <c r="N176"/>
    </row>
    <row r="177" spans="5:14" ht="15.75">
      <c r="E177"/>
      <c r="F177"/>
      <c r="G177"/>
      <c r="H177"/>
      <c r="I177"/>
      <c r="J177"/>
      <c r="K177"/>
      <c r="L177"/>
      <c r="M177"/>
      <c r="N177"/>
    </row>
    <row r="178" spans="5:14" ht="15.75">
      <c r="E178"/>
      <c r="F178"/>
      <c r="G178"/>
      <c r="H178"/>
      <c r="I178"/>
      <c r="J178"/>
      <c r="K178"/>
      <c r="L178"/>
      <c r="M178"/>
      <c r="N178"/>
    </row>
    <row r="179" spans="5:14" ht="15.75">
      <c r="E179"/>
      <c r="F179"/>
      <c r="G179"/>
      <c r="H179"/>
      <c r="I179"/>
      <c r="J179"/>
      <c r="K179"/>
      <c r="L179"/>
      <c r="M179"/>
      <c r="N179"/>
    </row>
    <row r="180" spans="5:14" ht="15.75">
      <c r="E180"/>
      <c r="F180"/>
      <c r="G180"/>
      <c r="H180"/>
      <c r="I180"/>
      <c r="J180"/>
      <c r="K180"/>
      <c r="L180"/>
      <c r="M180"/>
      <c r="N180"/>
    </row>
    <row r="181" spans="5:14" ht="15.75">
      <c r="E181"/>
      <c r="F181"/>
      <c r="G181"/>
      <c r="H181"/>
      <c r="I181"/>
      <c r="J181"/>
      <c r="K181"/>
      <c r="L181"/>
      <c r="M181"/>
      <c r="N181"/>
    </row>
    <row r="182" spans="5:14" ht="15.75">
      <c r="E182"/>
      <c r="F182"/>
      <c r="G182"/>
      <c r="H182"/>
      <c r="I182"/>
      <c r="J182"/>
      <c r="K182"/>
      <c r="L182"/>
      <c r="M182"/>
      <c r="N182"/>
    </row>
    <row r="183" spans="5:14" ht="15.75">
      <c r="E183"/>
      <c r="F183"/>
      <c r="G183"/>
      <c r="H183"/>
      <c r="I183"/>
      <c r="J183"/>
      <c r="K183"/>
      <c r="L183"/>
      <c r="M183"/>
      <c r="N183"/>
    </row>
    <row r="184" spans="5:14" ht="15.75">
      <c r="E184"/>
      <c r="F184"/>
      <c r="G184"/>
      <c r="H184"/>
      <c r="I184"/>
      <c r="J184"/>
      <c r="K184"/>
      <c r="L184"/>
      <c r="M184"/>
      <c r="N184"/>
    </row>
    <row r="185" spans="5:14" ht="15.75">
      <c r="E185"/>
      <c r="F185"/>
      <c r="G185"/>
      <c r="H185"/>
      <c r="I185"/>
      <c r="J185"/>
      <c r="K185"/>
      <c r="L185"/>
      <c r="M185"/>
      <c r="N185"/>
    </row>
    <row r="186" spans="5:14" ht="15.75">
      <c r="E186"/>
      <c r="F186"/>
      <c r="G186"/>
      <c r="H186"/>
      <c r="I186"/>
      <c r="J186"/>
      <c r="K186"/>
      <c r="L186"/>
      <c r="M186"/>
      <c r="N186"/>
    </row>
    <row r="187" spans="5:14" ht="15.75">
      <c r="E187"/>
      <c r="F187"/>
      <c r="G187"/>
      <c r="H187"/>
      <c r="I187"/>
      <c r="J187"/>
      <c r="K187"/>
      <c r="L187"/>
      <c r="M187"/>
      <c r="N187"/>
    </row>
    <row r="188" spans="5:14" ht="15.75">
      <c r="E188"/>
      <c r="F188"/>
      <c r="G188"/>
      <c r="H188"/>
      <c r="I188"/>
      <c r="J188"/>
      <c r="K188"/>
      <c r="L188"/>
      <c r="M188"/>
      <c r="N188"/>
    </row>
    <row r="189" spans="5:14" ht="15.75">
      <c r="E189"/>
      <c r="F189"/>
      <c r="G189"/>
      <c r="H189"/>
      <c r="I189"/>
      <c r="J189"/>
      <c r="K189"/>
      <c r="L189"/>
      <c r="M189"/>
      <c r="N189"/>
    </row>
    <row r="190" spans="5:14" ht="15.75">
      <c r="E190"/>
      <c r="F190"/>
      <c r="G190"/>
      <c r="H190"/>
      <c r="I190"/>
      <c r="J190"/>
      <c r="K190"/>
      <c r="L190"/>
      <c r="M190"/>
      <c r="N190"/>
    </row>
    <row r="191" spans="5:14" ht="15.75">
      <c r="E191"/>
      <c r="F191"/>
      <c r="G191"/>
      <c r="H191"/>
      <c r="I191"/>
      <c r="J191"/>
      <c r="K191"/>
      <c r="L191"/>
      <c r="M191"/>
      <c r="N191"/>
    </row>
    <row r="192" spans="5:14" ht="15.75">
      <c r="E192"/>
      <c r="F192"/>
      <c r="G192"/>
      <c r="H192"/>
      <c r="I192"/>
      <c r="J192"/>
      <c r="K192"/>
      <c r="L192"/>
      <c r="M192"/>
      <c r="N192"/>
    </row>
    <row r="193" spans="5:14" ht="15.75">
      <c r="E193"/>
      <c r="F193"/>
      <c r="G193"/>
      <c r="H193"/>
      <c r="I193"/>
      <c r="J193"/>
      <c r="K193"/>
      <c r="L193"/>
      <c r="M193"/>
      <c r="N193"/>
    </row>
    <row r="194" spans="5:14" ht="15.75">
      <c r="E194"/>
      <c r="F194"/>
      <c r="G194"/>
      <c r="H194"/>
      <c r="I194"/>
      <c r="J194"/>
      <c r="K194"/>
      <c r="L194"/>
      <c r="M194"/>
      <c r="N194"/>
    </row>
    <row r="195" spans="5:14" ht="15.75">
      <c r="E195"/>
      <c r="F195"/>
      <c r="G195"/>
      <c r="H195"/>
      <c r="I195"/>
      <c r="J195"/>
      <c r="K195"/>
      <c r="L195"/>
      <c r="M195"/>
      <c r="N195"/>
    </row>
    <row r="196" spans="5:14" ht="15.75">
      <c r="E196"/>
      <c r="F196"/>
      <c r="G196"/>
      <c r="H196"/>
      <c r="I196"/>
      <c r="J196"/>
      <c r="K196"/>
      <c r="L196"/>
      <c r="M196"/>
      <c r="N196"/>
    </row>
    <row r="197" spans="5:14" ht="15.75">
      <c r="E197"/>
      <c r="F197"/>
      <c r="G197"/>
      <c r="H197"/>
      <c r="I197"/>
      <c r="J197"/>
      <c r="K197"/>
      <c r="L197"/>
      <c r="M197"/>
      <c r="N197"/>
    </row>
    <row r="198" spans="5:14" ht="15.75">
      <c r="E198"/>
      <c r="F198"/>
      <c r="G198"/>
      <c r="H198"/>
      <c r="I198"/>
      <c r="J198"/>
      <c r="K198"/>
      <c r="L198"/>
      <c r="M198"/>
      <c r="N198"/>
    </row>
    <row r="199" spans="5:14" ht="15.75">
      <c r="E199"/>
      <c r="F199"/>
      <c r="G199"/>
      <c r="H199"/>
      <c r="I199"/>
      <c r="J199"/>
      <c r="K199"/>
      <c r="L199"/>
      <c r="M199"/>
      <c r="N199"/>
    </row>
    <row r="200" spans="5:14" ht="15.75">
      <c r="E200"/>
      <c r="F200"/>
      <c r="G200"/>
      <c r="H200"/>
      <c r="I200"/>
      <c r="J200"/>
      <c r="K200"/>
      <c r="L200"/>
      <c r="M200"/>
      <c r="N200"/>
    </row>
    <row r="201" spans="5:14" ht="15.75">
      <c r="E201"/>
      <c r="F201"/>
      <c r="G201"/>
      <c r="H201"/>
      <c r="I201"/>
      <c r="J201"/>
      <c r="K201"/>
      <c r="L201"/>
      <c r="M201"/>
      <c r="N201"/>
    </row>
    <row r="202" spans="5:14" ht="15.75">
      <c r="E202"/>
      <c r="F202"/>
      <c r="G202"/>
      <c r="H202"/>
      <c r="I202"/>
      <c r="J202"/>
      <c r="K202"/>
      <c r="L202"/>
      <c r="M202"/>
      <c r="N202"/>
    </row>
    <row r="203" spans="5:14" ht="15.75">
      <c r="E203"/>
      <c r="F203"/>
      <c r="G203"/>
      <c r="H203"/>
      <c r="I203"/>
      <c r="J203"/>
      <c r="K203"/>
      <c r="L203"/>
      <c r="M203"/>
      <c r="N203"/>
    </row>
    <row r="204" spans="5:14" ht="15.75">
      <c r="E204"/>
      <c r="F204"/>
      <c r="G204"/>
      <c r="H204"/>
      <c r="I204"/>
      <c r="J204"/>
      <c r="K204"/>
      <c r="L204"/>
      <c r="M204"/>
      <c r="N204"/>
    </row>
    <row r="205" spans="5:14" ht="15.75">
      <c r="E205"/>
      <c r="F205"/>
      <c r="G205"/>
      <c r="H205"/>
      <c r="I205"/>
      <c r="J205"/>
      <c r="K205"/>
      <c r="L205"/>
      <c r="M205"/>
      <c r="N205"/>
    </row>
    <row r="206" spans="5:14" ht="15.75">
      <c r="E206"/>
      <c r="F206"/>
      <c r="G206"/>
      <c r="H206"/>
      <c r="I206"/>
      <c r="J206"/>
      <c r="K206"/>
      <c r="L206"/>
      <c r="M206"/>
      <c r="N206"/>
    </row>
    <row r="207" spans="5:14" ht="15.75">
      <c r="E207"/>
      <c r="F207"/>
      <c r="G207"/>
      <c r="H207"/>
      <c r="I207"/>
      <c r="J207"/>
      <c r="K207"/>
      <c r="L207"/>
      <c r="M207"/>
      <c r="N207"/>
    </row>
    <row r="208" spans="5:14" ht="15.75">
      <c r="E208"/>
      <c r="F208"/>
      <c r="G208"/>
      <c r="H208"/>
      <c r="I208"/>
      <c r="J208"/>
      <c r="K208"/>
      <c r="L208"/>
      <c r="M208"/>
      <c r="N208"/>
    </row>
    <row r="209" spans="5:14" ht="15.75">
      <c r="E209"/>
      <c r="F209"/>
      <c r="G209"/>
      <c r="H209"/>
      <c r="I209"/>
      <c r="J209"/>
      <c r="K209"/>
      <c r="L209"/>
      <c r="M209"/>
      <c r="N209"/>
    </row>
    <row r="210" spans="5:14" ht="15.75">
      <c r="E210"/>
      <c r="F210"/>
      <c r="G210"/>
      <c r="H210"/>
      <c r="I210"/>
      <c r="J210"/>
      <c r="K210"/>
      <c r="L210"/>
      <c r="M210"/>
      <c r="N210"/>
    </row>
    <row r="211" spans="5:14" ht="15.75">
      <c r="E211"/>
      <c r="F211"/>
      <c r="G211"/>
      <c r="H211"/>
      <c r="I211"/>
      <c r="J211"/>
      <c r="K211"/>
      <c r="L211"/>
      <c r="M211"/>
      <c r="N211"/>
    </row>
    <row r="212" spans="5:14" ht="15.75">
      <c r="E212"/>
      <c r="F212"/>
      <c r="G212"/>
      <c r="H212"/>
      <c r="I212"/>
      <c r="J212"/>
      <c r="K212"/>
      <c r="L212"/>
      <c r="M212"/>
      <c r="N212"/>
    </row>
    <row r="213" spans="5:14" ht="15.75">
      <c r="E213"/>
      <c r="F213"/>
      <c r="G213"/>
      <c r="H213"/>
      <c r="I213"/>
      <c r="J213"/>
      <c r="K213"/>
      <c r="L213"/>
      <c r="M213"/>
      <c r="N213"/>
    </row>
    <row r="214" spans="5:14" ht="15.75">
      <c r="E214"/>
      <c r="F214"/>
      <c r="G214"/>
      <c r="H214"/>
      <c r="I214"/>
      <c r="J214"/>
      <c r="K214"/>
      <c r="L214"/>
      <c r="M214"/>
      <c r="N214"/>
    </row>
    <row r="215" spans="5:14" ht="15.75">
      <c r="E215"/>
      <c r="F215"/>
      <c r="G215"/>
      <c r="H215"/>
      <c r="I215"/>
      <c r="J215"/>
      <c r="K215"/>
      <c r="L215"/>
      <c r="M215"/>
      <c r="N215"/>
    </row>
    <row r="216" spans="5:14" ht="15.75">
      <c r="E216"/>
      <c r="F216"/>
      <c r="G216"/>
      <c r="H216"/>
      <c r="I216"/>
      <c r="J216"/>
      <c r="K216"/>
      <c r="L216"/>
      <c r="M216"/>
      <c r="N216"/>
    </row>
    <row r="217" spans="5:14" ht="15.75">
      <c r="E217"/>
      <c r="F217"/>
      <c r="G217"/>
      <c r="H217"/>
      <c r="I217"/>
      <c r="J217"/>
      <c r="K217"/>
      <c r="L217"/>
      <c r="M217"/>
      <c r="N217"/>
    </row>
    <row r="218" spans="5:14" ht="15.75">
      <c r="E218"/>
      <c r="F218"/>
      <c r="G218"/>
      <c r="H218"/>
      <c r="I218"/>
      <c r="J218"/>
      <c r="K218"/>
      <c r="L218"/>
      <c r="M218"/>
      <c r="N218"/>
    </row>
    <row r="219" spans="5:14" ht="15.75">
      <c r="E219"/>
      <c r="F219"/>
      <c r="G219"/>
      <c r="H219"/>
      <c r="I219"/>
      <c r="J219"/>
      <c r="K219"/>
      <c r="L219"/>
      <c r="M219"/>
      <c r="N219"/>
    </row>
    <row r="220" spans="5:14" ht="15.75">
      <c r="E220"/>
      <c r="F220"/>
      <c r="G220"/>
      <c r="H220"/>
      <c r="I220"/>
      <c r="J220"/>
      <c r="K220"/>
      <c r="L220"/>
      <c r="M220"/>
      <c r="N220"/>
    </row>
    <row r="221" spans="5:14" ht="15.75">
      <c r="E221"/>
      <c r="F221"/>
      <c r="G221"/>
      <c r="H221"/>
      <c r="I221"/>
      <c r="J221"/>
      <c r="K221"/>
      <c r="L221"/>
      <c r="M221"/>
      <c r="N221"/>
    </row>
    <row r="222" spans="5:14" ht="15.75">
      <c r="E222"/>
      <c r="F222"/>
      <c r="G222"/>
      <c r="H222"/>
      <c r="I222"/>
      <c r="J222"/>
      <c r="K222"/>
      <c r="L222"/>
      <c r="M222"/>
      <c r="N222"/>
    </row>
    <row r="223" spans="5:14" ht="15.75">
      <c r="E223"/>
      <c r="F223"/>
      <c r="G223"/>
      <c r="H223"/>
      <c r="I223"/>
      <c r="J223"/>
      <c r="K223"/>
      <c r="L223"/>
      <c r="M223"/>
      <c r="N223"/>
    </row>
    <row r="224" spans="5:14" ht="15.75">
      <c r="E224"/>
      <c r="F224"/>
      <c r="G224"/>
      <c r="H224"/>
      <c r="I224"/>
      <c r="J224"/>
      <c r="K224"/>
      <c r="L224"/>
      <c r="M224"/>
      <c r="N224"/>
    </row>
    <row r="225" spans="5:14" ht="15.75">
      <c r="E225"/>
      <c r="F225"/>
      <c r="G225"/>
      <c r="H225"/>
      <c r="I225"/>
      <c r="J225"/>
      <c r="K225"/>
      <c r="L225"/>
      <c r="M225"/>
      <c r="N225"/>
    </row>
    <row r="226" spans="5:14" ht="15.75">
      <c r="E226"/>
      <c r="F226"/>
      <c r="G226"/>
      <c r="H226"/>
      <c r="I226"/>
      <c r="J226"/>
      <c r="K226"/>
      <c r="L226"/>
      <c r="M226"/>
      <c r="N226"/>
    </row>
    <row r="227" spans="5:14" ht="15.75">
      <c r="E227"/>
      <c r="F227"/>
      <c r="G227"/>
      <c r="H227"/>
      <c r="I227"/>
      <c r="J227"/>
      <c r="K227"/>
      <c r="L227"/>
      <c r="M227"/>
      <c r="N227"/>
    </row>
    <row r="228" spans="5:14" ht="15.75">
      <c r="E228"/>
      <c r="F228"/>
      <c r="G228"/>
      <c r="H228"/>
      <c r="I228"/>
      <c r="J228"/>
      <c r="K228"/>
      <c r="L228"/>
      <c r="M228"/>
      <c r="N228"/>
    </row>
    <row r="229" spans="5:14" ht="15.75">
      <c r="E229"/>
      <c r="F229"/>
      <c r="G229"/>
      <c r="H229"/>
      <c r="I229"/>
      <c r="J229"/>
      <c r="K229"/>
      <c r="L229"/>
      <c r="M229"/>
      <c r="N229"/>
    </row>
    <row r="230" spans="5:14" ht="15.75">
      <c r="E230"/>
      <c r="F230"/>
      <c r="G230"/>
      <c r="H230"/>
      <c r="I230"/>
      <c r="J230"/>
      <c r="K230"/>
      <c r="L230"/>
      <c r="M230"/>
      <c r="N230"/>
    </row>
    <row r="231" spans="5:14" ht="15.75">
      <c r="E231"/>
      <c r="F231"/>
      <c r="G231"/>
      <c r="H231"/>
      <c r="I231"/>
      <c r="J231"/>
      <c r="K231"/>
      <c r="L231"/>
      <c r="M231"/>
      <c r="N231"/>
    </row>
    <row r="232" spans="5:14" ht="15.75">
      <c r="E232"/>
      <c r="F232"/>
      <c r="G232"/>
      <c r="H232"/>
      <c r="I232"/>
      <c r="J232"/>
      <c r="K232"/>
      <c r="L232"/>
      <c r="M232"/>
      <c r="N232"/>
    </row>
    <row r="233" spans="5:14" ht="15.75">
      <c r="E233"/>
      <c r="F233"/>
      <c r="G233"/>
      <c r="H233"/>
      <c r="I233"/>
      <c r="J233"/>
      <c r="K233"/>
      <c r="L233"/>
      <c r="M233"/>
      <c r="N233"/>
    </row>
    <row r="234" spans="5:14" ht="15.75">
      <c r="E234"/>
      <c r="F234"/>
      <c r="G234"/>
      <c r="H234"/>
      <c r="I234"/>
      <c r="J234"/>
      <c r="K234"/>
      <c r="L234"/>
      <c r="M234"/>
      <c r="N234"/>
    </row>
    <row r="235" spans="5:14" ht="15.75">
      <c r="E235"/>
      <c r="F235"/>
      <c r="G235"/>
      <c r="H235"/>
      <c r="I235"/>
      <c r="J235"/>
      <c r="K235"/>
      <c r="L235"/>
      <c r="M235"/>
      <c r="N235"/>
    </row>
    <row r="236" spans="5:14" ht="15.75">
      <c r="E236"/>
      <c r="F236"/>
      <c r="G236"/>
      <c r="H236"/>
      <c r="I236"/>
      <c r="J236"/>
      <c r="K236"/>
      <c r="L236"/>
      <c r="M236"/>
      <c r="N236"/>
    </row>
    <row r="237" spans="5:14" ht="15.75">
      <c r="E237"/>
      <c r="F237"/>
      <c r="G237"/>
      <c r="H237"/>
      <c r="I237"/>
      <c r="J237"/>
      <c r="K237"/>
      <c r="L237"/>
      <c r="M237"/>
      <c r="N237"/>
    </row>
    <row r="238" spans="5:14" ht="15.75">
      <c r="E238"/>
      <c r="F238"/>
      <c r="G238"/>
      <c r="H238"/>
      <c r="I238"/>
      <c r="J238"/>
      <c r="K238"/>
      <c r="L238"/>
      <c r="M238"/>
      <c r="N238"/>
    </row>
    <row r="239" spans="5:14" ht="15.75">
      <c r="E239"/>
      <c r="F239"/>
      <c r="G239"/>
      <c r="H239"/>
      <c r="I239"/>
      <c r="J239"/>
      <c r="K239"/>
      <c r="L239"/>
      <c r="M239"/>
      <c r="N239"/>
    </row>
    <row r="240" spans="5:14" ht="15.75">
      <c r="E240"/>
      <c r="F240"/>
      <c r="G240"/>
      <c r="H240"/>
      <c r="I240"/>
      <c r="J240"/>
      <c r="K240"/>
      <c r="L240"/>
      <c r="M240"/>
      <c r="N240"/>
    </row>
    <row r="241" spans="5:14" ht="15.75">
      <c r="E241"/>
      <c r="F241"/>
      <c r="G241"/>
      <c r="H241"/>
      <c r="I241"/>
      <c r="J241"/>
      <c r="K241"/>
      <c r="L241"/>
      <c r="M241"/>
      <c r="N241"/>
    </row>
    <row r="242" spans="5:14" ht="15.75">
      <c r="E242"/>
      <c r="F242"/>
      <c r="G242"/>
      <c r="H242"/>
      <c r="I242"/>
      <c r="J242"/>
      <c r="K242"/>
      <c r="L242"/>
      <c r="M242"/>
      <c r="N242"/>
    </row>
    <row r="243" spans="5:14" ht="15.75">
      <c r="E243"/>
      <c r="F243"/>
      <c r="G243"/>
      <c r="H243"/>
      <c r="I243"/>
      <c r="J243"/>
      <c r="K243"/>
      <c r="L243"/>
      <c r="M243"/>
      <c r="N243"/>
    </row>
    <row r="244" spans="5:14" ht="15.75">
      <c r="E244"/>
      <c r="F244"/>
      <c r="G244"/>
      <c r="H244"/>
      <c r="I244"/>
      <c r="J244"/>
      <c r="K244"/>
      <c r="L244"/>
      <c r="M244"/>
      <c r="N244"/>
    </row>
    <row r="245" spans="5:14" ht="15.75">
      <c r="E245"/>
      <c r="F245"/>
      <c r="G245"/>
      <c r="H245"/>
      <c r="I245"/>
      <c r="J245"/>
      <c r="K245"/>
      <c r="L245"/>
      <c r="M245"/>
      <c r="N245"/>
    </row>
    <row r="246" spans="5:14" ht="15.75">
      <c r="E246"/>
      <c r="F246"/>
      <c r="G246"/>
      <c r="H246"/>
      <c r="I246"/>
      <c r="J246"/>
      <c r="K246"/>
      <c r="L246"/>
      <c r="M246"/>
      <c r="N246"/>
    </row>
    <row r="247" spans="5:14" ht="15.75">
      <c r="E247"/>
      <c r="F247"/>
      <c r="G247"/>
      <c r="H247"/>
      <c r="I247"/>
      <c r="J247"/>
      <c r="K247"/>
      <c r="L247"/>
      <c r="M247"/>
      <c r="N247"/>
    </row>
    <row r="248" spans="5:14" ht="15.75">
      <c r="E248"/>
      <c r="F248"/>
      <c r="G248"/>
      <c r="H248"/>
      <c r="I248"/>
      <c r="J248"/>
      <c r="K248"/>
      <c r="L248"/>
      <c r="M248"/>
      <c r="N248"/>
    </row>
    <row r="249" spans="5:14" ht="15.75">
      <c r="E249"/>
      <c r="F249"/>
      <c r="G249"/>
      <c r="H249"/>
      <c r="I249"/>
      <c r="J249"/>
      <c r="K249"/>
      <c r="L249"/>
      <c r="M249"/>
      <c r="N249"/>
    </row>
    <row r="250" spans="5:14" ht="15.75">
      <c r="E250"/>
      <c r="F250"/>
      <c r="G250"/>
      <c r="H250"/>
      <c r="I250"/>
      <c r="J250"/>
      <c r="K250"/>
      <c r="L250"/>
      <c r="M250"/>
      <c r="N250"/>
    </row>
    <row r="251" spans="5:14" ht="15.75">
      <c r="E251"/>
      <c r="F251"/>
      <c r="G251"/>
      <c r="H251"/>
      <c r="I251"/>
      <c r="J251"/>
      <c r="K251"/>
      <c r="L251"/>
      <c r="M251"/>
      <c r="N251"/>
    </row>
    <row r="252" spans="5:14" ht="15.75">
      <c r="E252"/>
      <c r="F252"/>
      <c r="G252"/>
      <c r="H252"/>
      <c r="I252"/>
      <c r="J252"/>
      <c r="K252"/>
      <c r="L252"/>
      <c r="M252"/>
      <c r="N252"/>
    </row>
    <row r="253" spans="5:14" ht="15.75">
      <c r="E253"/>
      <c r="F253"/>
      <c r="G253"/>
      <c r="H253"/>
      <c r="I253"/>
      <c r="J253"/>
      <c r="K253"/>
      <c r="L253"/>
      <c r="M253"/>
      <c r="N253"/>
    </row>
    <row r="254" spans="5:14" ht="15.75">
      <c r="E254"/>
      <c r="F254"/>
      <c r="G254"/>
      <c r="H254"/>
      <c r="I254"/>
      <c r="J254"/>
      <c r="K254"/>
      <c r="L254"/>
      <c r="M254"/>
      <c r="N254"/>
    </row>
    <row r="255" spans="5:14" ht="15.75">
      <c r="E255"/>
      <c r="F255"/>
      <c r="G255"/>
      <c r="H255"/>
      <c r="I255"/>
      <c r="J255"/>
      <c r="K255"/>
      <c r="L255"/>
      <c r="M255"/>
      <c r="N255"/>
    </row>
    <row r="256" spans="5:14" ht="15.75">
      <c r="E256"/>
      <c r="F256"/>
      <c r="G256"/>
      <c r="H256"/>
      <c r="I256"/>
      <c r="J256"/>
      <c r="K256"/>
      <c r="L256"/>
      <c r="M256"/>
      <c r="N256"/>
    </row>
    <row r="257" spans="5:14" ht="15.75">
      <c r="E257"/>
      <c r="F257"/>
      <c r="G257"/>
      <c r="H257"/>
      <c r="I257"/>
      <c r="J257"/>
      <c r="K257"/>
      <c r="L257"/>
      <c r="M257"/>
      <c r="N257"/>
    </row>
    <row r="258" spans="5:14" ht="15.75">
      <c r="E258"/>
      <c r="F258"/>
      <c r="G258"/>
      <c r="H258"/>
      <c r="I258"/>
      <c r="J258"/>
      <c r="K258"/>
      <c r="L258"/>
      <c r="M258"/>
      <c r="N258"/>
    </row>
    <row r="259" spans="5:14" ht="15.75">
      <c r="E259"/>
      <c r="F259"/>
      <c r="G259"/>
      <c r="H259"/>
      <c r="I259"/>
      <c r="J259"/>
      <c r="K259"/>
      <c r="L259"/>
      <c r="M259"/>
      <c r="N259"/>
    </row>
    <row r="260" spans="5:14" ht="15.75">
      <c r="E260"/>
      <c r="F260"/>
      <c r="G260"/>
      <c r="H260"/>
      <c r="I260"/>
      <c r="J260"/>
      <c r="K260"/>
      <c r="L260"/>
      <c r="M260"/>
      <c r="N260"/>
    </row>
    <row r="261" spans="5:14" ht="15.75">
      <c r="E261"/>
      <c r="F261"/>
      <c r="G261"/>
      <c r="H261"/>
      <c r="I261"/>
      <c r="J261"/>
      <c r="K261"/>
      <c r="L261"/>
      <c r="M261"/>
      <c r="N261"/>
    </row>
    <row r="262" spans="5:14" ht="15.75">
      <c r="E262"/>
      <c r="F262"/>
      <c r="G262"/>
      <c r="H262"/>
      <c r="I262"/>
      <c r="J262"/>
      <c r="K262"/>
      <c r="L262"/>
      <c r="M262"/>
      <c r="N262"/>
    </row>
    <row r="263" spans="5:14" ht="15.75">
      <c r="E263"/>
      <c r="F263"/>
      <c r="G263"/>
      <c r="H263"/>
      <c r="I263"/>
      <c r="J263"/>
      <c r="K263"/>
      <c r="L263"/>
      <c r="M263"/>
      <c r="N263"/>
    </row>
    <row r="264" spans="5:14" ht="15.75">
      <c r="E264"/>
      <c r="F264"/>
      <c r="G264"/>
      <c r="H264"/>
      <c r="I264"/>
      <c r="J264"/>
      <c r="K264"/>
      <c r="L264"/>
      <c r="M264"/>
      <c r="N264"/>
    </row>
    <row r="265" spans="5:14" ht="15.75">
      <c r="E265"/>
      <c r="F265"/>
      <c r="G265"/>
      <c r="H265"/>
      <c r="I265"/>
      <c r="J265"/>
      <c r="K265"/>
      <c r="L265"/>
      <c r="M265"/>
      <c r="N265"/>
    </row>
    <row r="266" spans="5:14" ht="15.75">
      <c r="E266"/>
      <c r="F266"/>
      <c r="G266"/>
      <c r="H266"/>
      <c r="I266"/>
      <c r="J266"/>
      <c r="K266"/>
      <c r="L266"/>
      <c r="M266"/>
      <c r="N266"/>
    </row>
    <row r="267" spans="5:14" ht="15.75">
      <c r="E267"/>
      <c r="F267"/>
      <c r="G267"/>
      <c r="H267"/>
      <c r="I267"/>
      <c r="J267"/>
      <c r="K267"/>
      <c r="L267"/>
      <c r="M267"/>
      <c r="N267"/>
    </row>
    <row r="268" spans="5:14" ht="15.75">
      <c r="E268"/>
      <c r="F268"/>
      <c r="G268"/>
      <c r="H268"/>
      <c r="I268"/>
      <c r="J268"/>
      <c r="K268"/>
      <c r="L268"/>
      <c r="M268"/>
      <c r="N268"/>
    </row>
    <row r="269" spans="5:14" ht="15.75">
      <c r="E269"/>
      <c r="F269"/>
      <c r="G269"/>
      <c r="H269"/>
      <c r="I269"/>
      <c r="J269"/>
      <c r="K269"/>
      <c r="L269"/>
      <c r="M269"/>
      <c r="N269"/>
    </row>
    <row r="270" spans="5:14" ht="15.75">
      <c r="E270"/>
      <c r="F270"/>
      <c r="G270"/>
      <c r="H270"/>
      <c r="I270"/>
      <c r="J270"/>
      <c r="K270"/>
      <c r="L270"/>
      <c r="M270"/>
      <c r="N270"/>
    </row>
    <row r="271" spans="5:14" ht="15.75">
      <c r="E271"/>
      <c r="F271"/>
      <c r="G271"/>
      <c r="H271"/>
      <c r="I271"/>
      <c r="J271"/>
      <c r="K271"/>
      <c r="L271"/>
      <c r="M271"/>
      <c r="N271"/>
    </row>
    <row r="272" spans="5:14" ht="15.75">
      <c r="E272"/>
      <c r="F272"/>
      <c r="G272"/>
      <c r="H272"/>
      <c r="I272"/>
      <c r="J272"/>
      <c r="K272"/>
      <c r="L272"/>
      <c r="M272"/>
      <c r="N272"/>
    </row>
    <row r="273" spans="5:14" ht="15.75">
      <c r="E273"/>
      <c r="F273"/>
      <c r="G273"/>
      <c r="H273"/>
      <c r="I273"/>
      <c r="J273"/>
      <c r="K273"/>
      <c r="L273"/>
      <c r="M273"/>
      <c r="N273"/>
    </row>
    <row r="274" spans="5:14" ht="15.75">
      <c r="E274"/>
      <c r="F274"/>
      <c r="G274"/>
      <c r="H274"/>
      <c r="I274"/>
      <c r="J274"/>
      <c r="K274"/>
      <c r="L274"/>
      <c r="M274"/>
      <c r="N274"/>
    </row>
    <row r="275" spans="5:14" ht="15.75">
      <c r="E275"/>
      <c r="F275"/>
      <c r="G275"/>
      <c r="H275"/>
      <c r="I275"/>
      <c r="J275"/>
      <c r="K275"/>
      <c r="L275"/>
      <c r="M275"/>
      <c r="N275"/>
    </row>
    <row r="276" spans="5:14" ht="15.75">
      <c r="E276"/>
      <c r="F276"/>
      <c r="G276"/>
      <c r="H276"/>
      <c r="I276"/>
      <c r="J276"/>
      <c r="K276"/>
      <c r="L276"/>
      <c r="M276"/>
      <c r="N276"/>
    </row>
    <row r="277" spans="5:14" ht="15.75">
      <c r="E277"/>
      <c r="F277"/>
      <c r="G277"/>
      <c r="H277"/>
      <c r="I277"/>
      <c r="J277"/>
      <c r="K277"/>
      <c r="L277"/>
      <c r="M277"/>
      <c r="N277"/>
    </row>
    <row r="278" spans="5:14" ht="15.75">
      <c r="E278"/>
      <c r="F278"/>
      <c r="G278"/>
      <c r="H278"/>
      <c r="I278"/>
      <c r="J278"/>
      <c r="K278"/>
      <c r="L278"/>
      <c r="M278"/>
      <c r="N278"/>
    </row>
    <row r="279" spans="5:14" ht="15.75">
      <c r="E279"/>
      <c r="F279"/>
      <c r="G279"/>
      <c r="H279"/>
      <c r="I279"/>
      <c r="J279"/>
      <c r="K279"/>
      <c r="L279"/>
      <c r="M279"/>
      <c r="N279"/>
    </row>
    <row r="280" spans="5:14" ht="15.75">
      <c r="E280"/>
      <c r="F280"/>
      <c r="G280"/>
      <c r="H280"/>
      <c r="I280"/>
      <c r="J280"/>
      <c r="K280"/>
      <c r="L280"/>
      <c r="M280"/>
      <c r="N280"/>
    </row>
    <row r="281" spans="5:14" ht="15.75">
      <c r="E281"/>
      <c r="F281"/>
      <c r="G281"/>
      <c r="H281"/>
      <c r="I281"/>
      <c r="J281"/>
      <c r="K281"/>
      <c r="L281"/>
      <c r="M281"/>
      <c r="N281"/>
    </row>
    <row r="282" spans="5:14" ht="15.75">
      <c r="E282"/>
      <c r="F282"/>
      <c r="G282"/>
      <c r="H282"/>
      <c r="I282"/>
      <c r="J282"/>
      <c r="K282"/>
      <c r="L282"/>
      <c r="M282"/>
      <c r="N282"/>
    </row>
    <row r="283" spans="5:14" ht="15.75">
      <c r="E283"/>
      <c r="F283"/>
      <c r="G283"/>
      <c r="H283"/>
      <c r="I283"/>
      <c r="J283"/>
      <c r="K283"/>
      <c r="L283"/>
      <c r="M283"/>
      <c r="N283"/>
    </row>
    <row r="284" spans="5:14" ht="15.75">
      <c r="E284"/>
      <c r="F284"/>
      <c r="G284"/>
      <c r="H284"/>
      <c r="I284"/>
      <c r="J284"/>
      <c r="K284"/>
      <c r="L284"/>
      <c r="M284"/>
      <c r="N284"/>
    </row>
    <row r="285" spans="5:14" ht="15.75">
      <c r="E285"/>
      <c r="F285"/>
      <c r="G285"/>
      <c r="H285"/>
      <c r="I285"/>
      <c r="J285"/>
      <c r="K285"/>
      <c r="L285"/>
      <c r="M285"/>
      <c r="N285"/>
    </row>
    <row r="286" spans="5:14" ht="15.75">
      <c r="E286"/>
      <c r="F286"/>
      <c r="G286"/>
      <c r="H286"/>
      <c r="I286"/>
      <c r="J286"/>
      <c r="K286"/>
      <c r="L286"/>
      <c r="M286"/>
      <c r="N286"/>
    </row>
    <row r="287" spans="5:14" ht="15.75">
      <c r="E287"/>
      <c r="F287"/>
      <c r="G287"/>
      <c r="H287"/>
      <c r="I287"/>
      <c r="J287"/>
      <c r="K287"/>
      <c r="L287"/>
      <c r="M287"/>
      <c r="N287"/>
    </row>
    <row r="288" spans="5:14" ht="15.75">
      <c r="E288"/>
      <c r="F288"/>
      <c r="G288"/>
      <c r="H288"/>
      <c r="I288"/>
      <c r="J288"/>
      <c r="K288"/>
      <c r="L288"/>
      <c r="M288"/>
      <c r="N288"/>
    </row>
    <row r="289" spans="5:14" ht="15.75">
      <c r="E289"/>
      <c r="F289"/>
      <c r="G289"/>
      <c r="H289"/>
      <c r="I289"/>
      <c r="J289"/>
      <c r="K289"/>
      <c r="L289"/>
      <c r="M289"/>
      <c r="N289"/>
    </row>
    <row r="290" spans="5:14" ht="15.75">
      <c r="E290"/>
      <c r="F290"/>
      <c r="G290"/>
      <c r="H290"/>
      <c r="I290"/>
      <c r="J290"/>
      <c r="K290"/>
      <c r="L290"/>
      <c r="M290"/>
      <c r="N290"/>
    </row>
    <row r="291" spans="5:14" ht="15.75">
      <c r="E291"/>
      <c r="F291"/>
      <c r="G291"/>
      <c r="H291"/>
      <c r="I291"/>
      <c r="J291"/>
      <c r="K291"/>
      <c r="L291"/>
      <c r="M291"/>
      <c r="N291"/>
    </row>
    <row r="292" spans="5:14" ht="15.75">
      <c r="E292"/>
      <c r="F292"/>
      <c r="G292"/>
      <c r="H292"/>
      <c r="I292"/>
      <c r="J292"/>
      <c r="K292"/>
      <c r="L292"/>
      <c r="M292"/>
      <c r="N292"/>
    </row>
    <row r="293" spans="5:14" ht="15.75">
      <c r="E293"/>
      <c r="F293"/>
      <c r="G293"/>
      <c r="H293"/>
      <c r="I293"/>
      <c r="J293"/>
      <c r="K293"/>
      <c r="L293"/>
      <c r="M293"/>
      <c r="N293"/>
    </row>
    <row r="294" spans="5:14" ht="15.75">
      <c r="E294"/>
      <c r="F294"/>
      <c r="G294"/>
      <c r="H294"/>
      <c r="I294"/>
      <c r="J294"/>
      <c r="K294"/>
      <c r="L294"/>
      <c r="M294"/>
      <c r="N294"/>
    </row>
    <row r="295" spans="5:14" ht="15.75">
      <c r="E295"/>
      <c r="F295"/>
      <c r="G295"/>
      <c r="H295"/>
      <c r="I295"/>
      <c r="J295"/>
      <c r="K295"/>
      <c r="L295"/>
      <c r="M295"/>
      <c r="N295"/>
    </row>
    <row r="296" spans="5:14" ht="15.75">
      <c r="E296"/>
      <c r="F296"/>
      <c r="G296"/>
      <c r="H296"/>
      <c r="I296"/>
      <c r="J296"/>
      <c r="K296"/>
      <c r="L296"/>
      <c r="M296"/>
      <c r="N296"/>
    </row>
    <row r="297" spans="5:14" ht="15.75">
      <c r="E297"/>
      <c r="F297"/>
      <c r="G297"/>
      <c r="H297"/>
      <c r="I297"/>
      <c r="J297"/>
      <c r="K297"/>
      <c r="L297"/>
      <c r="M297"/>
      <c r="N297"/>
    </row>
    <row r="298" spans="5:14" ht="15.75">
      <c r="E298"/>
      <c r="F298"/>
      <c r="G298"/>
      <c r="H298"/>
      <c r="I298"/>
      <c r="J298"/>
      <c r="K298"/>
      <c r="L298"/>
      <c r="M298"/>
      <c r="N298"/>
    </row>
    <row r="299" spans="5:14" ht="15.75">
      <c r="E299"/>
      <c r="F299"/>
      <c r="G299"/>
      <c r="H299"/>
      <c r="I299"/>
      <c r="J299"/>
      <c r="K299"/>
      <c r="L299"/>
      <c r="M299"/>
      <c r="N299"/>
    </row>
    <row r="300" spans="5:14" ht="15.75">
      <c r="E300"/>
      <c r="F300"/>
      <c r="G300"/>
      <c r="H300"/>
      <c r="I300"/>
      <c r="J300"/>
      <c r="K300"/>
      <c r="L300"/>
      <c r="M300"/>
      <c r="N300"/>
    </row>
    <row r="301" spans="5:14" ht="15.75">
      <c r="E301"/>
      <c r="F301"/>
      <c r="G301"/>
      <c r="H301"/>
      <c r="I301"/>
      <c r="J301"/>
      <c r="K301"/>
      <c r="L301"/>
      <c r="M301"/>
      <c r="N301"/>
    </row>
    <row r="302" spans="5:14" ht="15.75">
      <c r="E302"/>
      <c r="F302"/>
      <c r="G302"/>
      <c r="H302"/>
      <c r="I302"/>
      <c r="J302"/>
      <c r="K302"/>
      <c r="L302"/>
      <c r="M302"/>
      <c r="N302"/>
    </row>
    <row r="303" spans="5:14" ht="15.75">
      <c r="E303"/>
      <c r="F303"/>
      <c r="G303"/>
      <c r="H303"/>
      <c r="I303"/>
      <c r="J303"/>
      <c r="K303"/>
      <c r="L303"/>
      <c r="M303"/>
      <c r="N303"/>
    </row>
    <row r="304" spans="5:14" ht="15.75">
      <c r="E304"/>
      <c r="F304"/>
      <c r="G304"/>
      <c r="H304"/>
      <c r="I304"/>
      <c r="J304"/>
      <c r="K304"/>
      <c r="L304"/>
      <c r="M304"/>
      <c r="N304"/>
    </row>
    <row r="305" spans="5:14" ht="15.75">
      <c r="E305"/>
      <c r="F305"/>
      <c r="G305"/>
      <c r="H305"/>
      <c r="I305"/>
      <c r="J305"/>
      <c r="K305"/>
      <c r="L305"/>
      <c r="M305"/>
      <c r="N305"/>
    </row>
    <row r="306" spans="5:14" ht="15.75">
      <c r="E306"/>
      <c r="F306"/>
      <c r="G306"/>
      <c r="H306"/>
      <c r="I306"/>
      <c r="J306"/>
      <c r="K306"/>
      <c r="L306"/>
      <c r="M306"/>
      <c r="N306"/>
    </row>
    <row r="307" spans="5:14" ht="15.75">
      <c r="E307"/>
      <c r="F307"/>
      <c r="G307"/>
      <c r="H307"/>
      <c r="I307"/>
      <c r="J307"/>
      <c r="K307"/>
      <c r="L307"/>
      <c r="M307"/>
      <c r="N307"/>
    </row>
    <row r="308" spans="5:14" ht="15.75">
      <c r="E308"/>
      <c r="F308"/>
      <c r="G308"/>
      <c r="H308"/>
      <c r="I308"/>
      <c r="J308"/>
      <c r="K308"/>
      <c r="L308"/>
      <c r="M308"/>
      <c r="N308"/>
    </row>
    <row r="309" spans="5:14" ht="15.75">
      <c r="E309"/>
      <c r="F309"/>
      <c r="G309"/>
      <c r="H309"/>
      <c r="I309"/>
      <c r="J309"/>
      <c r="K309"/>
      <c r="L309"/>
      <c r="M309"/>
      <c r="N309"/>
    </row>
    <row r="310" spans="5:14" ht="15.75">
      <c r="E310"/>
      <c r="F310"/>
      <c r="G310"/>
      <c r="H310"/>
      <c r="I310"/>
      <c r="J310"/>
      <c r="K310"/>
      <c r="L310"/>
      <c r="M310"/>
      <c r="N310"/>
    </row>
    <row r="311" spans="5:14" ht="15.75">
      <c r="E311"/>
      <c r="F311"/>
      <c r="G311"/>
      <c r="H311"/>
      <c r="I311"/>
      <c r="J311"/>
      <c r="K311"/>
      <c r="L311"/>
      <c r="M311"/>
      <c r="N311"/>
    </row>
    <row r="312" spans="5:14" ht="15.75">
      <c r="E312"/>
      <c r="F312"/>
      <c r="G312"/>
      <c r="H312"/>
      <c r="I312"/>
      <c r="J312"/>
      <c r="K312"/>
      <c r="L312"/>
      <c r="M312"/>
      <c r="N312"/>
    </row>
    <row r="313" spans="5:14" ht="15.75">
      <c r="E313"/>
      <c r="F313"/>
      <c r="G313"/>
      <c r="H313"/>
      <c r="I313"/>
      <c r="J313"/>
      <c r="K313"/>
      <c r="L313"/>
      <c r="M313"/>
      <c r="N313"/>
    </row>
    <row r="314" spans="5:14" ht="15.75">
      <c r="E314"/>
      <c r="F314"/>
      <c r="G314"/>
      <c r="H314"/>
      <c r="I314"/>
      <c r="J314"/>
      <c r="K314"/>
      <c r="L314"/>
      <c r="M314"/>
      <c r="N314"/>
    </row>
    <row r="315" spans="5:14" ht="15.75">
      <c r="E315"/>
      <c r="F315"/>
      <c r="G315"/>
      <c r="H315"/>
      <c r="I315"/>
      <c r="J315"/>
      <c r="K315"/>
      <c r="L315"/>
      <c r="M315"/>
      <c r="N315"/>
    </row>
    <row r="316" spans="5:14" ht="15.75">
      <c r="E316"/>
      <c r="F316"/>
      <c r="G316"/>
      <c r="H316"/>
      <c r="I316"/>
      <c r="J316"/>
      <c r="K316"/>
      <c r="L316"/>
      <c r="M316"/>
      <c r="N316"/>
    </row>
    <row r="317" spans="5:14" ht="15.75">
      <c r="E317"/>
      <c r="F317"/>
      <c r="G317"/>
      <c r="H317"/>
      <c r="I317"/>
      <c r="J317"/>
      <c r="K317"/>
      <c r="L317"/>
      <c r="M317"/>
      <c r="N317"/>
    </row>
    <row r="318" spans="5:14" ht="15.75">
      <c r="E318"/>
      <c r="F318"/>
      <c r="G318"/>
      <c r="H318"/>
      <c r="I318"/>
      <c r="J318"/>
      <c r="K318"/>
      <c r="L318"/>
      <c r="M318"/>
      <c r="N318"/>
    </row>
    <row r="319" spans="5:14" ht="15.75">
      <c r="E319"/>
      <c r="F319"/>
      <c r="G319"/>
      <c r="H319"/>
      <c r="I319"/>
      <c r="J319"/>
      <c r="K319"/>
      <c r="L319"/>
      <c r="M319"/>
      <c r="N319"/>
    </row>
    <row r="320" spans="5:14" ht="15.75">
      <c r="E320"/>
      <c r="F320"/>
      <c r="G320"/>
      <c r="H320"/>
      <c r="I320"/>
      <c r="J320"/>
      <c r="K320"/>
      <c r="L320"/>
      <c r="M320"/>
      <c r="N320"/>
    </row>
    <row r="321" spans="5:14" ht="15.75">
      <c r="E321"/>
      <c r="F321"/>
      <c r="G321"/>
      <c r="H321"/>
      <c r="I321"/>
      <c r="J321"/>
      <c r="K321"/>
      <c r="L321"/>
      <c r="M321"/>
      <c r="N321"/>
    </row>
    <row r="322" spans="5:14" ht="15.75">
      <c r="E322"/>
      <c r="F322"/>
      <c r="G322"/>
      <c r="H322"/>
      <c r="I322"/>
      <c r="J322"/>
      <c r="K322"/>
      <c r="L322"/>
      <c r="M322"/>
      <c r="N322"/>
    </row>
    <row r="323" spans="5:14" ht="15.75">
      <c r="E323"/>
      <c r="F323"/>
      <c r="G323"/>
      <c r="H323"/>
      <c r="I323"/>
      <c r="J323"/>
      <c r="K323"/>
      <c r="L323"/>
      <c r="M323"/>
      <c r="N323"/>
    </row>
    <row r="324" spans="5:14" ht="15.75">
      <c r="E324"/>
      <c r="F324"/>
      <c r="G324"/>
      <c r="H324"/>
      <c r="I324"/>
      <c r="J324"/>
      <c r="K324"/>
      <c r="L324"/>
      <c r="M324"/>
      <c r="N324"/>
    </row>
    <row r="325" spans="5:14" ht="15.75">
      <c r="E325"/>
      <c r="F325"/>
      <c r="G325"/>
      <c r="H325"/>
      <c r="I325"/>
      <c r="J325"/>
      <c r="K325"/>
      <c r="L325"/>
      <c r="M325"/>
      <c r="N325"/>
    </row>
  </sheetData>
  <sheetProtection/>
  <mergeCells count="22">
    <mergeCell ref="C8:E8"/>
    <mergeCell ref="F8:H8"/>
    <mergeCell ref="I8:K8"/>
    <mergeCell ref="L8:N8"/>
    <mergeCell ref="F9:F10"/>
    <mergeCell ref="G9:H9"/>
    <mergeCell ref="A13:B13"/>
    <mergeCell ref="A38:B38"/>
    <mergeCell ref="C9:C10"/>
    <mergeCell ref="D9:E9"/>
    <mergeCell ref="A11:B11"/>
    <mergeCell ref="A12:B12"/>
    <mergeCell ref="I9:I10"/>
    <mergeCell ref="J9:K9"/>
    <mergeCell ref="A2:N2"/>
    <mergeCell ref="A3:N3"/>
    <mergeCell ref="A4:N4"/>
    <mergeCell ref="A7:B10"/>
    <mergeCell ref="C7:H7"/>
    <mergeCell ref="I7:N7"/>
    <mergeCell ref="L9:L10"/>
    <mergeCell ref="M9:N9"/>
  </mergeCells>
  <printOptions/>
  <pageMargins left="0.5" right="0.25" top="0.25" bottom="0.25" header="0" footer="0"/>
  <pageSetup horizontalDpi="600" verticalDpi="600" orientation="landscape" paperSize="9" scale="95" r:id="rId2"/>
  <drawing r:id="rId1"/>
</worksheet>
</file>

<file path=xl/worksheets/sheet6.xml><?xml version="1.0" encoding="utf-8"?>
<worksheet xmlns="http://schemas.openxmlformats.org/spreadsheetml/2006/main" xmlns:r="http://schemas.openxmlformats.org/officeDocument/2006/relationships">
  <sheetPr>
    <tabColor rgb="FFFFFF00"/>
  </sheetPr>
  <dimension ref="A1:AD329"/>
  <sheetViews>
    <sheetView zoomScale="90" zoomScaleNormal="90" zoomScalePageLayoutView="0" workbookViewId="0" topLeftCell="A1">
      <pane ySplit="7140" topLeftCell="A63" activePane="bottomLeft" state="split"/>
      <selection pane="topLeft" activeCell="A17" sqref="A17:B18"/>
      <selection pane="bottomLeft" activeCell="C17" sqref="C17:T41"/>
    </sheetView>
  </sheetViews>
  <sheetFormatPr defaultColWidth="9.140625" defaultRowHeight="12.75"/>
  <cols>
    <col min="1" max="1" width="3.28125" style="24" customWidth="1"/>
    <col min="2" max="2" width="12.8515625" style="25" customWidth="1"/>
    <col min="3" max="3" width="8.57421875" style="24" customWidth="1"/>
    <col min="4" max="4" width="9.421875" style="24" customWidth="1"/>
    <col min="5" max="5" width="10.57421875" style="24" bestFit="1" customWidth="1"/>
    <col min="6" max="6" width="8.140625" style="26" customWidth="1"/>
    <col min="7" max="8" width="8.57421875" style="26" customWidth="1"/>
    <col min="9" max="9" width="8.00390625" style="24" customWidth="1"/>
    <col min="10" max="10" width="8.140625" style="24" customWidth="1"/>
    <col min="11" max="11" width="9.00390625" style="24" customWidth="1"/>
    <col min="12" max="12" width="7.7109375" style="24" customWidth="1"/>
    <col min="13" max="13" width="6.7109375" style="24" customWidth="1"/>
    <col min="14" max="14" width="10.140625" style="24" customWidth="1"/>
    <col min="15" max="15" width="6.28125" style="24" customWidth="1"/>
    <col min="16" max="16" width="7.140625" style="24" customWidth="1"/>
    <col min="17" max="17" width="5.8515625" style="26" customWidth="1"/>
    <col min="18" max="18" width="7.421875" style="17" customWidth="1"/>
    <col min="19" max="19" width="7.140625" style="17" customWidth="1"/>
    <col min="20" max="20" width="7.57421875" style="17" customWidth="1"/>
    <col min="21" max="16384" width="9.140625" style="17" customWidth="1"/>
  </cols>
  <sheetData>
    <row r="1" spans="1:17" ht="19.5" customHeight="1">
      <c r="A1" s="1" t="s">
        <v>318</v>
      </c>
      <c r="B1" s="15"/>
      <c r="C1" s="1"/>
      <c r="D1" s="1"/>
      <c r="E1" s="16"/>
      <c r="F1" s="16"/>
      <c r="G1" s="16"/>
      <c r="H1" s="16"/>
      <c r="I1" s="16"/>
      <c r="J1" s="16"/>
      <c r="K1" s="16"/>
      <c r="L1" s="16"/>
      <c r="M1" s="16"/>
      <c r="N1" s="16"/>
      <c r="O1" s="16"/>
      <c r="P1" s="16"/>
      <c r="Q1" s="16"/>
    </row>
    <row r="2" spans="1:30" s="19" customFormat="1" ht="18.75">
      <c r="A2" s="810" t="s">
        <v>326</v>
      </c>
      <c r="B2" s="810"/>
      <c r="C2" s="810"/>
      <c r="D2" s="810"/>
      <c r="E2" s="810"/>
      <c r="F2" s="810"/>
      <c r="G2" s="810"/>
      <c r="H2" s="810"/>
      <c r="I2" s="810"/>
      <c r="J2" s="810"/>
      <c r="K2" s="810"/>
      <c r="L2" s="810"/>
      <c r="M2" s="810"/>
      <c r="N2" s="810"/>
      <c r="O2" s="810"/>
      <c r="P2" s="810"/>
      <c r="Q2" s="810"/>
      <c r="R2" s="18"/>
      <c r="S2" s="18"/>
      <c r="T2" s="18"/>
      <c r="U2" s="18"/>
      <c r="V2" s="18"/>
      <c r="W2" s="18"/>
      <c r="X2" s="18"/>
      <c r="Y2" s="18"/>
      <c r="Z2" s="18"/>
      <c r="AA2" s="18"/>
      <c r="AB2" s="18"/>
      <c r="AC2" s="18"/>
      <c r="AD2" s="18"/>
    </row>
    <row r="3" spans="1:30" s="19" customFormat="1" ht="18.75" customHeight="1">
      <c r="A3" s="883" t="s">
        <v>464</v>
      </c>
      <c r="B3" s="883"/>
      <c r="C3" s="883"/>
      <c r="D3" s="883"/>
      <c r="E3" s="883"/>
      <c r="F3" s="883"/>
      <c r="G3" s="883"/>
      <c r="H3" s="883"/>
      <c r="I3" s="883"/>
      <c r="J3" s="883"/>
      <c r="K3" s="883"/>
      <c r="L3" s="883"/>
      <c r="M3" s="883"/>
      <c r="N3" s="883"/>
      <c r="O3" s="883"/>
      <c r="P3" s="883"/>
      <c r="Q3" s="883"/>
      <c r="R3" s="883"/>
      <c r="S3" s="883"/>
      <c r="T3" s="883"/>
      <c r="U3" s="18"/>
      <c r="V3" s="18"/>
      <c r="W3" s="18"/>
      <c r="X3" s="18"/>
      <c r="Y3" s="18"/>
      <c r="Z3" s="18"/>
      <c r="AA3" s="18"/>
      <c r="AB3" s="18"/>
      <c r="AC3" s="18"/>
      <c r="AD3" s="18"/>
    </row>
    <row r="4" spans="1:30" s="19" customFormat="1" ht="21.75" customHeight="1">
      <c r="A4" s="810" t="s">
        <v>319</v>
      </c>
      <c r="B4" s="810"/>
      <c r="C4" s="810"/>
      <c r="D4" s="810"/>
      <c r="E4" s="810"/>
      <c r="F4" s="810"/>
      <c r="G4" s="810"/>
      <c r="H4" s="810"/>
      <c r="I4" s="810"/>
      <c r="J4" s="810"/>
      <c r="K4" s="810"/>
      <c r="L4" s="810"/>
      <c r="M4" s="810"/>
      <c r="N4" s="810"/>
      <c r="O4" s="810"/>
      <c r="P4" s="810"/>
      <c r="Q4" s="810"/>
      <c r="R4" s="810"/>
      <c r="S4" s="810"/>
      <c r="T4" s="810"/>
      <c r="U4" s="18"/>
      <c r="V4" s="18"/>
      <c r="W4" s="18"/>
      <c r="X4" s="18"/>
      <c r="Y4" s="18"/>
      <c r="Z4" s="18"/>
      <c r="AA4" s="18"/>
      <c r="AB4" s="18"/>
      <c r="AC4" s="18"/>
      <c r="AD4" s="18"/>
    </row>
    <row r="5" spans="1:17" ht="6" customHeight="1">
      <c r="A5" s="20"/>
      <c r="B5" s="20"/>
      <c r="C5" s="21"/>
      <c r="D5" s="21"/>
      <c r="E5" s="18"/>
      <c r="F5" s="18"/>
      <c r="G5" s="18"/>
      <c r="H5" s="18"/>
      <c r="I5" s="18"/>
      <c r="J5" s="18"/>
      <c r="K5" s="18"/>
      <c r="L5" s="18"/>
      <c r="M5" s="18"/>
      <c r="N5" s="18"/>
      <c r="O5" s="18"/>
      <c r="P5" s="27"/>
      <c r="Q5" s="18"/>
    </row>
    <row r="6" spans="1:20" ht="15.75" customHeight="1">
      <c r="A6" s="5"/>
      <c r="B6" s="5"/>
      <c r="C6" s="6"/>
      <c r="D6" s="6"/>
      <c r="E6" s="18"/>
      <c r="F6" s="18"/>
      <c r="G6" s="18"/>
      <c r="H6" s="18"/>
      <c r="I6" s="18"/>
      <c r="K6" s="18"/>
      <c r="L6" s="18"/>
      <c r="M6" s="18"/>
      <c r="N6" s="50"/>
      <c r="O6" s="50"/>
      <c r="P6" s="12"/>
      <c r="Q6" s="50"/>
      <c r="R6" s="4"/>
      <c r="S6" s="52"/>
      <c r="T6" s="53" t="s">
        <v>418</v>
      </c>
    </row>
    <row r="7" spans="1:20" s="61" customFormat="1" ht="36" customHeight="1">
      <c r="A7" s="865"/>
      <c r="B7" s="867"/>
      <c r="C7" s="902" t="s">
        <v>420</v>
      </c>
      <c r="D7" s="899"/>
      <c r="E7" s="899"/>
      <c r="F7" s="899"/>
      <c r="G7" s="899"/>
      <c r="H7" s="899"/>
      <c r="I7" s="899"/>
      <c r="J7" s="899"/>
      <c r="K7" s="899"/>
      <c r="L7" s="902" t="s">
        <v>421</v>
      </c>
      <c r="M7" s="899"/>
      <c r="N7" s="899"/>
      <c r="O7" s="899"/>
      <c r="P7" s="899"/>
      <c r="Q7" s="899"/>
      <c r="R7" s="899"/>
      <c r="S7" s="899"/>
      <c r="T7" s="907"/>
    </row>
    <row r="8" spans="1:20" s="61" customFormat="1" ht="20.25" customHeight="1">
      <c r="A8" s="905"/>
      <c r="B8" s="906"/>
      <c r="C8" s="849" t="s">
        <v>422</v>
      </c>
      <c r="D8" s="849"/>
      <c r="E8" s="849"/>
      <c r="F8" s="849" t="s">
        <v>423</v>
      </c>
      <c r="G8" s="849"/>
      <c r="H8" s="849"/>
      <c r="I8" s="849" t="s">
        <v>424</v>
      </c>
      <c r="J8" s="849"/>
      <c r="K8" s="849"/>
      <c r="L8" s="849" t="s">
        <v>432</v>
      </c>
      <c r="M8" s="849"/>
      <c r="N8" s="849"/>
      <c r="O8" s="915" t="s">
        <v>328</v>
      </c>
      <c r="P8" s="915"/>
      <c r="Q8" s="915"/>
      <c r="R8" s="915"/>
      <c r="S8" s="915"/>
      <c r="T8" s="915"/>
    </row>
    <row r="9" spans="1:26" s="61" customFormat="1" ht="104.25" customHeight="1">
      <c r="A9" s="905"/>
      <c r="B9" s="906"/>
      <c r="C9" s="849"/>
      <c r="D9" s="849"/>
      <c r="E9" s="849"/>
      <c r="F9" s="849"/>
      <c r="G9" s="849"/>
      <c r="H9" s="849"/>
      <c r="I9" s="849"/>
      <c r="J9" s="849"/>
      <c r="K9" s="849"/>
      <c r="L9" s="849"/>
      <c r="M9" s="849"/>
      <c r="N9" s="849"/>
      <c r="O9" s="849" t="s">
        <v>425</v>
      </c>
      <c r="P9" s="849"/>
      <c r="Q9" s="849"/>
      <c r="R9" s="849" t="s">
        <v>426</v>
      </c>
      <c r="S9" s="849"/>
      <c r="T9" s="849"/>
      <c r="W9" s="914"/>
      <c r="X9" s="914"/>
      <c r="Y9" s="914"/>
      <c r="Z9" s="65"/>
    </row>
    <row r="10" spans="1:26" s="61" customFormat="1" ht="18" customHeight="1">
      <c r="A10" s="905"/>
      <c r="B10" s="906"/>
      <c r="C10" s="911" t="s">
        <v>332</v>
      </c>
      <c r="D10" s="849" t="s">
        <v>321</v>
      </c>
      <c r="E10" s="849"/>
      <c r="F10" s="911" t="s">
        <v>332</v>
      </c>
      <c r="G10" s="849" t="s">
        <v>321</v>
      </c>
      <c r="H10" s="849"/>
      <c r="I10" s="911" t="s">
        <v>332</v>
      </c>
      <c r="J10" s="849" t="s">
        <v>321</v>
      </c>
      <c r="K10" s="849"/>
      <c r="L10" s="911" t="s">
        <v>332</v>
      </c>
      <c r="M10" s="849" t="s">
        <v>321</v>
      </c>
      <c r="N10" s="849"/>
      <c r="O10" s="849" t="s">
        <v>322</v>
      </c>
      <c r="P10" s="903" t="s">
        <v>321</v>
      </c>
      <c r="Q10" s="904"/>
      <c r="R10" s="849" t="s">
        <v>322</v>
      </c>
      <c r="S10" s="903" t="s">
        <v>321</v>
      </c>
      <c r="T10" s="886"/>
      <c r="W10" s="914"/>
      <c r="X10" s="914"/>
      <c r="Y10" s="914"/>
      <c r="Z10" s="65"/>
    </row>
    <row r="11" spans="1:20" s="61" customFormat="1" ht="12.75" customHeight="1">
      <c r="A11" s="905"/>
      <c r="B11" s="906"/>
      <c r="C11" s="912"/>
      <c r="D11" s="908" t="s">
        <v>333</v>
      </c>
      <c r="E11" s="908" t="s">
        <v>320</v>
      </c>
      <c r="F11" s="912"/>
      <c r="G11" s="908" t="s">
        <v>333</v>
      </c>
      <c r="H11" s="908" t="s">
        <v>320</v>
      </c>
      <c r="I11" s="912"/>
      <c r="J11" s="908" t="s">
        <v>333</v>
      </c>
      <c r="K11" s="908" t="s">
        <v>320</v>
      </c>
      <c r="L11" s="912"/>
      <c r="M11" s="908" t="s">
        <v>333</v>
      </c>
      <c r="N11" s="908" t="s">
        <v>320</v>
      </c>
      <c r="O11" s="849"/>
      <c r="P11" s="885" t="s">
        <v>427</v>
      </c>
      <c r="Q11" s="908" t="s">
        <v>428</v>
      </c>
      <c r="R11" s="849"/>
      <c r="S11" s="885" t="s">
        <v>427</v>
      </c>
      <c r="T11" s="908" t="s">
        <v>428</v>
      </c>
    </row>
    <row r="12" spans="1:20" s="61" customFormat="1" ht="18.75" customHeight="1">
      <c r="A12" s="905"/>
      <c r="B12" s="906"/>
      <c r="C12" s="912"/>
      <c r="D12" s="909"/>
      <c r="E12" s="909"/>
      <c r="F12" s="912"/>
      <c r="G12" s="909"/>
      <c r="H12" s="909"/>
      <c r="I12" s="912"/>
      <c r="J12" s="909"/>
      <c r="K12" s="909"/>
      <c r="L12" s="912"/>
      <c r="M12" s="909"/>
      <c r="N12" s="909"/>
      <c r="O12" s="849"/>
      <c r="P12" s="885"/>
      <c r="Q12" s="909"/>
      <c r="R12" s="849"/>
      <c r="S12" s="885"/>
      <c r="T12" s="909"/>
    </row>
    <row r="13" spans="1:20" s="61" customFormat="1" ht="61.5" customHeight="1">
      <c r="A13" s="905"/>
      <c r="B13" s="906"/>
      <c r="C13" s="913"/>
      <c r="D13" s="910"/>
      <c r="E13" s="910"/>
      <c r="F13" s="913"/>
      <c r="G13" s="910"/>
      <c r="H13" s="910"/>
      <c r="I13" s="913"/>
      <c r="J13" s="910"/>
      <c r="K13" s="910"/>
      <c r="L13" s="913"/>
      <c r="M13" s="910"/>
      <c r="N13" s="910"/>
      <c r="O13" s="849"/>
      <c r="P13" s="885"/>
      <c r="Q13" s="910"/>
      <c r="R13" s="849"/>
      <c r="S13" s="885"/>
      <c r="T13" s="910"/>
    </row>
    <row r="14" spans="1:20" s="61" customFormat="1" ht="15.75">
      <c r="A14" s="849" t="s">
        <v>323</v>
      </c>
      <c r="B14" s="849"/>
      <c r="C14" s="60">
        <v>1</v>
      </c>
      <c r="D14" s="60">
        <v>2</v>
      </c>
      <c r="E14" s="60">
        <v>3</v>
      </c>
      <c r="F14" s="60">
        <v>4</v>
      </c>
      <c r="G14" s="60">
        <v>5</v>
      </c>
      <c r="H14" s="60">
        <v>6</v>
      </c>
      <c r="I14" s="60">
        <v>7</v>
      </c>
      <c r="J14" s="60">
        <v>8</v>
      </c>
      <c r="K14" s="60">
        <v>9</v>
      </c>
      <c r="L14" s="60">
        <v>10</v>
      </c>
      <c r="M14" s="60">
        <v>11</v>
      </c>
      <c r="N14" s="60">
        <v>12</v>
      </c>
      <c r="O14" s="60">
        <v>13</v>
      </c>
      <c r="P14" s="60">
        <v>14</v>
      </c>
      <c r="Q14" s="60">
        <v>15</v>
      </c>
      <c r="R14" s="60">
        <v>16</v>
      </c>
      <c r="S14" s="60">
        <v>17</v>
      </c>
      <c r="T14" s="60">
        <v>18</v>
      </c>
    </row>
    <row r="15" spans="1:20" s="61" customFormat="1" ht="32.25" customHeight="1">
      <c r="A15" s="850" t="s">
        <v>324</v>
      </c>
      <c r="B15" s="851"/>
      <c r="C15" s="121">
        <f>D15+E15</f>
        <v>1482</v>
      </c>
      <c r="D15" s="121">
        <v>149</v>
      </c>
      <c r="E15" s="121">
        <f>E16+E42</f>
        <v>1333</v>
      </c>
      <c r="F15" s="121">
        <f>G15+H15</f>
        <v>1198</v>
      </c>
      <c r="G15" s="121">
        <v>130</v>
      </c>
      <c r="H15" s="121">
        <f>H16+H42</f>
        <v>1068</v>
      </c>
      <c r="I15" s="121">
        <f>J15+K15</f>
        <v>244</v>
      </c>
      <c r="J15" s="121">
        <v>14</v>
      </c>
      <c r="K15" s="121">
        <f>K16+K42</f>
        <v>230</v>
      </c>
      <c r="L15" s="121">
        <f>M15+N15</f>
        <v>1642</v>
      </c>
      <c r="M15" s="121">
        <v>240</v>
      </c>
      <c r="N15" s="121">
        <f>N16+N42</f>
        <v>1402</v>
      </c>
      <c r="O15" s="121">
        <f>P15+Q15</f>
        <v>435</v>
      </c>
      <c r="P15" s="121">
        <v>45</v>
      </c>
      <c r="Q15" s="121">
        <f>Q16+Q42</f>
        <v>390</v>
      </c>
      <c r="R15" s="121">
        <f>S15+T15</f>
        <v>1460</v>
      </c>
      <c r="S15" s="121">
        <v>199</v>
      </c>
      <c r="T15" s="121">
        <f>T16+T42</f>
        <v>1261</v>
      </c>
    </row>
    <row r="16" spans="1:20" s="61" customFormat="1" ht="47.25" customHeight="1">
      <c r="A16" s="851" t="s">
        <v>325</v>
      </c>
      <c r="B16" s="857"/>
      <c r="C16" s="100">
        <f>SUM(C17:C41)</f>
        <v>813</v>
      </c>
      <c r="D16" s="100"/>
      <c r="E16" s="100">
        <f aca="true" t="shared" si="0" ref="E16:T16">SUM(E17:E41)</f>
        <v>813</v>
      </c>
      <c r="F16" s="100">
        <f t="shared" si="0"/>
        <v>576</v>
      </c>
      <c r="G16" s="100"/>
      <c r="H16" s="100">
        <f t="shared" si="0"/>
        <v>576</v>
      </c>
      <c r="I16" s="100">
        <f t="shared" si="0"/>
        <v>185</v>
      </c>
      <c r="J16" s="100"/>
      <c r="K16" s="100">
        <f t="shared" si="0"/>
        <v>185</v>
      </c>
      <c r="L16" s="100">
        <f t="shared" si="0"/>
        <v>834</v>
      </c>
      <c r="M16" s="100"/>
      <c r="N16" s="100">
        <f t="shared" si="0"/>
        <v>834</v>
      </c>
      <c r="O16" s="100">
        <f t="shared" si="0"/>
        <v>83</v>
      </c>
      <c r="P16" s="100"/>
      <c r="Q16" s="100">
        <f t="shared" si="0"/>
        <v>83</v>
      </c>
      <c r="R16" s="100">
        <f t="shared" si="0"/>
        <v>737</v>
      </c>
      <c r="S16" s="100"/>
      <c r="T16" s="100">
        <f t="shared" si="0"/>
        <v>737</v>
      </c>
    </row>
    <row r="17" spans="1:20" s="61" customFormat="1" ht="15.75">
      <c r="A17" s="639">
        <v>1</v>
      </c>
      <c r="B17" s="110" t="s">
        <v>479</v>
      </c>
      <c r="C17" s="104">
        <f>D17+E17</f>
        <v>49</v>
      </c>
      <c r="D17" s="124"/>
      <c r="E17" s="122">
        <v>49</v>
      </c>
      <c r="F17" s="104">
        <f>G17+H17</f>
        <v>49</v>
      </c>
      <c r="G17" s="122"/>
      <c r="H17" s="122">
        <v>49</v>
      </c>
      <c r="I17" s="104">
        <f>J17+K17</f>
        <v>0</v>
      </c>
      <c r="J17" s="375"/>
      <c r="K17" s="709"/>
      <c r="L17" s="104">
        <f>M17+N17</f>
        <v>0</v>
      </c>
      <c r="M17" s="375"/>
      <c r="N17" s="134"/>
      <c r="O17" s="104">
        <f>P17+Q17</f>
        <v>0</v>
      </c>
      <c r="P17" s="122"/>
      <c r="Q17" s="134"/>
      <c r="R17" s="104">
        <f>S17+T17</f>
        <v>0</v>
      </c>
      <c r="S17" s="375"/>
      <c r="T17" s="134"/>
    </row>
    <row r="18" spans="1:21" s="61" customFormat="1" ht="31.5">
      <c r="A18" s="639">
        <v>2</v>
      </c>
      <c r="B18" s="111" t="s">
        <v>480</v>
      </c>
      <c r="C18" s="710">
        <f aca="true" t="shared" si="1" ref="C18:C41">D18+E18</f>
        <v>112</v>
      </c>
      <c r="D18" s="370"/>
      <c r="E18" s="123">
        <v>112</v>
      </c>
      <c r="F18" s="104">
        <f aca="true" t="shared" si="2" ref="F18:F41">G18+H18</f>
        <v>0</v>
      </c>
      <c r="G18" s="122"/>
      <c r="H18" s="123">
        <v>0</v>
      </c>
      <c r="I18" s="104">
        <f aca="true" t="shared" si="3" ref="I18:I41">J18+K18</f>
        <v>69</v>
      </c>
      <c r="J18" s="375"/>
      <c r="K18" s="136">
        <v>69</v>
      </c>
      <c r="L18" s="710">
        <f aca="true" t="shared" si="4" ref="L18:L41">M18+N18</f>
        <v>164</v>
      </c>
      <c r="M18" s="375"/>
      <c r="N18" s="123">
        <v>164</v>
      </c>
      <c r="O18" s="104">
        <f aca="true" t="shared" si="5" ref="O18:O41">P18+Q18</f>
        <v>0</v>
      </c>
      <c r="P18" s="122"/>
      <c r="Q18" s="123">
        <v>0</v>
      </c>
      <c r="R18" s="104">
        <f aca="true" t="shared" si="6" ref="R18:R41">S18+T18</f>
        <v>164</v>
      </c>
      <c r="S18" s="375"/>
      <c r="T18" s="123">
        <v>164</v>
      </c>
      <c r="U18" s="61" t="s">
        <v>503</v>
      </c>
    </row>
    <row r="19" spans="1:20" s="61" customFormat="1" ht="34.5" customHeight="1">
      <c r="A19" s="639">
        <v>3</v>
      </c>
      <c r="B19" s="112" t="s">
        <v>465</v>
      </c>
      <c r="C19" s="104">
        <f t="shared" si="1"/>
        <v>3</v>
      </c>
      <c r="D19" s="370"/>
      <c r="E19" s="132">
        <v>3</v>
      </c>
      <c r="F19" s="104">
        <f t="shared" si="2"/>
        <v>3</v>
      </c>
      <c r="G19" s="122"/>
      <c r="H19" s="132">
        <v>3</v>
      </c>
      <c r="I19" s="104">
        <f t="shared" si="3"/>
        <v>0</v>
      </c>
      <c r="J19" s="122"/>
      <c r="K19" s="133">
        <v>0</v>
      </c>
      <c r="L19" s="104">
        <f t="shared" si="4"/>
        <v>3</v>
      </c>
      <c r="M19" s="375"/>
      <c r="N19" s="122">
        <v>3</v>
      </c>
      <c r="O19" s="104">
        <f t="shared" si="5"/>
        <v>0</v>
      </c>
      <c r="P19" s="122"/>
      <c r="Q19" s="122">
        <v>0</v>
      </c>
      <c r="R19" s="104">
        <f t="shared" si="6"/>
        <v>3</v>
      </c>
      <c r="S19" s="375"/>
      <c r="T19" s="122">
        <v>3</v>
      </c>
    </row>
    <row r="20" spans="1:20" s="61" customFormat="1" ht="31.5">
      <c r="A20" s="639">
        <v>4</v>
      </c>
      <c r="B20" s="111" t="s">
        <v>350</v>
      </c>
      <c r="C20" s="104">
        <f t="shared" si="1"/>
        <v>174</v>
      </c>
      <c r="D20" s="370"/>
      <c r="E20" s="122">
        <v>174</v>
      </c>
      <c r="F20" s="104">
        <f t="shared" si="2"/>
        <v>172</v>
      </c>
      <c r="G20" s="122"/>
      <c r="H20" s="122">
        <v>172</v>
      </c>
      <c r="I20" s="104">
        <f t="shared" si="3"/>
        <v>0</v>
      </c>
      <c r="J20" s="375"/>
      <c r="K20" s="709">
        <v>0</v>
      </c>
      <c r="L20" s="104">
        <f t="shared" si="4"/>
        <v>174</v>
      </c>
      <c r="M20" s="375"/>
      <c r="N20" s="122">
        <v>174</v>
      </c>
      <c r="O20" s="104">
        <f t="shared" si="5"/>
        <v>2</v>
      </c>
      <c r="P20" s="122"/>
      <c r="Q20" s="122">
        <v>2</v>
      </c>
      <c r="R20" s="104">
        <f t="shared" si="6"/>
        <v>172</v>
      </c>
      <c r="S20" s="375"/>
      <c r="T20" s="122">
        <v>172</v>
      </c>
    </row>
    <row r="21" spans="1:20" s="61" customFormat="1" ht="31.5">
      <c r="A21" s="639">
        <v>5</v>
      </c>
      <c r="B21" s="111" t="s">
        <v>355</v>
      </c>
      <c r="C21" s="104">
        <f t="shared" si="1"/>
        <v>30</v>
      </c>
      <c r="D21" s="370"/>
      <c r="E21" s="123">
        <v>30</v>
      </c>
      <c r="F21" s="104">
        <f t="shared" si="2"/>
        <v>24</v>
      </c>
      <c r="G21" s="122"/>
      <c r="H21" s="123">
        <v>24</v>
      </c>
      <c r="I21" s="104">
        <f t="shared" si="3"/>
        <v>17</v>
      </c>
      <c r="J21" s="375"/>
      <c r="K21" s="136">
        <v>17</v>
      </c>
      <c r="L21" s="104">
        <f t="shared" si="4"/>
        <v>30</v>
      </c>
      <c r="M21" s="375"/>
      <c r="N21" s="123">
        <v>30</v>
      </c>
      <c r="O21" s="104">
        <f t="shared" si="5"/>
        <v>6</v>
      </c>
      <c r="P21" s="122"/>
      <c r="Q21" s="123">
        <v>6</v>
      </c>
      <c r="R21" s="104">
        <f t="shared" si="6"/>
        <v>24</v>
      </c>
      <c r="S21" s="375"/>
      <c r="T21" s="123">
        <v>24</v>
      </c>
    </row>
    <row r="22" spans="1:20" s="61" customFormat="1" ht="31.5">
      <c r="A22" s="639">
        <v>6</v>
      </c>
      <c r="B22" s="111" t="s">
        <v>356</v>
      </c>
      <c r="C22" s="104">
        <f>D22+E22</f>
        <v>0</v>
      </c>
      <c r="D22" s="370"/>
      <c r="E22" s="122"/>
      <c r="F22" s="104">
        <f>G22+H22</f>
        <v>0</v>
      </c>
      <c r="G22" s="122"/>
      <c r="H22" s="122"/>
      <c r="I22" s="104">
        <f>J22+K22</f>
        <v>0</v>
      </c>
      <c r="J22" s="375"/>
      <c r="K22" s="709"/>
      <c r="L22" s="104">
        <f>M22+N22</f>
        <v>0</v>
      </c>
      <c r="M22" s="375"/>
      <c r="N22" s="134"/>
      <c r="O22" s="104">
        <f>P22+Q22</f>
        <v>0</v>
      </c>
      <c r="P22" s="122"/>
      <c r="Q22" s="134"/>
      <c r="R22" s="104">
        <f>S22+T22</f>
        <v>0</v>
      </c>
      <c r="S22" s="375"/>
      <c r="T22" s="134"/>
    </row>
    <row r="23" spans="1:20" s="61" customFormat="1" ht="63">
      <c r="A23" s="639">
        <v>7</v>
      </c>
      <c r="B23" s="111" t="s">
        <v>481</v>
      </c>
      <c r="C23" s="104">
        <f>D23+E23</f>
        <v>0</v>
      </c>
      <c r="D23" s="370"/>
      <c r="E23" s="122"/>
      <c r="F23" s="104">
        <f>G23+H23</f>
        <v>0</v>
      </c>
      <c r="G23" s="122"/>
      <c r="H23" s="122"/>
      <c r="I23" s="104">
        <f>J23+K23</f>
        <v>0</v>
      </c>
      <c r="J23" s="375"/>
      <c r="K23" s="709"/>
      <c r="L23" s="104">
        <f>M23+N23</f>
        <v>0</v>
      </c>
      <c r="M23" s="375"/>
      <c r="N23" s="134">
        <v>0</v>
      </c>
      <c r="O23" s="104">
        <f>P23+Q23</f>
        <v>0</v>
      </c>
      <c r="P23" s="122"/>
      <c r="Q23" s="134">
        <v>0</v>
      </c>
      <c r="R23" s="104">
        <f>S23+T23</f>
        <v>0</v>
      </c>
      <c r="S23" s="375"/>
      <c r="T23" s="134">
        <v>0</v>
      </c>
    </row>
    <row r="24" spans="1:20" s="61" customFormat="1" ht="31.5">
      <c r="A24" s="639">
        <v>8</v>
      </c>
      <c r="B24" s="113" t="s">
        <v>482</v>
      </c>
      <c r="C24" s="104">
        <f>D24+E24</f>
        <v>27</v>
      </c>
      <c r="D24" s="370"/>
      <c r="E24" s="122">
        <v>27</v>
      </c>
      <c r="F24" s="104">
        <f>G24+H24</f>
        <v>27</v>
      </c>
      <c r="G24" s="122"/>
      <c r="H24" s="122">
        <v>27</v>
      </c>
      <c r="I24" s="104">
        <f>J24+K24</f>
        <v>27</v>
      </c>
      <c r="J24" s="375"/>
      <c r="K24" s="709">
        <v>27</v>
      </c>
      <c r="L24" s="104">
        <f>M24+N24</f>
        <v>27</v>
      </c>
      <c r="M24" s="375"/>
      <c r="N24" s="122">
        <v>27</v>
      </c>
      <c r="O24" s="104">
        <f>P24+Q24</f>
        <v>3</v>
      </c>
      <c r="P24" s="122"/>
      <c r="Q24" s="122">
        <v>3</v>
      </c>
      <c r="R24" s="104">
        <f>S24+T24</f>
        <v>24</v>
      </c>
      <c r="S24" s="375"/>
      <c r="T24" s="122">
        <v>24</v>
      </c>
    </row>
    <row r="25" spans="1:20" s="61" customFormat="1" ht="15.75">
      <c r="A25" s="639">
        <v>9</v>
      </c>
      <c r="B25" s="114" t="s">
        <v>483</v>
      </c>
      <c r="C25" s="710">
        <f>D25+E25</f>
        <v>0</v>
      </c>
      <c r="D25" s="370"/>
      <c r="E25" s="122"/>
      <c r="F25" s="104">
        <f>G25+H25</f>
        <v>0</v>
      </c>
      <c r="G25" s="122"/>
      <c r="H25" s="122"/>
      <c r="I25" s="104">
        <f>J25+K25</f>
        <v>0</v>
      </c>
      <c r="J25" s="375"/>
      <c r="K25" s="709"/>
      <c r="L25" s="710">
        <f>M25+N25</f>
        <v>1</v>
      </c>
      <c r="M25" s="375"/>
      <c r="N25" s="134">
        <v>1</v>
      </c>
      <c r="O25" s="104">
        <f>P25+Q25</f>
        <v>0</v>
      </c>
      <c r="P25" s="122"/>
      <c r="Q25" s="134"/>
      <c r="R25" s="104">
        <f>S25+T25</f>
        <v>0</v>
      </c>
      <c r="S25" s="375"/>
      <c r="T25" s="134"/>
    </row>
    <row r="26" spans="1:20" s="61" customFormat="1" ht="63">
      <c r="A26" s="639">
        <v>10</v>
      </c>
      <c r="B26" s="111" t="s">
        <v>484</v>
      </c>
      <c r="C26" s="104">
        <f t="shared" si="1"/>
        <v>0</v>
      </c>
      <c r="D26" s="370"/>
      <c r="E26" s="122">
        <v>0</v>
      </c>
      <c r="F26" s="104">
        <f t="shared" si="2"/>
        <v>0</v>
      </c>
      <c r="G26" s="122"/>
      <c r="H26" s="122">
        <v>0</v>
      </c>
      <c r="I26" s="104">
        <f t="shared" si="3"/>
        <v>0</v>
      </c>
      <c r="J26" s="375"/>
      <c r="K26" s="709">
        <v>0</v>
      </c>
      <c r="L26" s="104">
        <f t="shared" si="4"/>
        <v>0</v>
      </c>
      <c r="M26" s="375"/>
      <c r="N26" s="134">
        <v>0</v>
      </c>
      <c r="O26" s="104">
        <f t="shared" si="5"/>
        <v>0</v>
      </c>
      <c r="P26" s="122"/>
      <c r="Q26" s="134">
        <v>0</v>
      </c>
      <c r="R26" s="104">
        <f t="shared" si="6"/>
        <v>0</v>
      </c>
      <c r="S26" s="375"/>
      <c r="T26" s="134">
        <v>0</v>
      </c>
    </row>
    <row r="27" spans="1:20" s="61" customFormat="1" ht="31.5">
      <c r="A27" s="639">
        <v>11</v>
      </c>
      <c r="B27" s="113" t="s">
        <v>447</v>
      </c>
      <c r="C27" s="104">
        <f t="shared" si="1"/>
        <v>0</v>
      </c>
      <c r="D27" s="370"/>
      <c r="E27" s="122"/>
      <c r="F27" s="104">
        <f t="shared" si="2"/>
        <v>0</v>
      </c>
      <c r="G27" s="122"/>
      <c r="H27" s="122"/>
      <c r="I27" s="104">
        <f t="shared" si="3"/>
        <v>0</v>
      </c>
      <c r="J27" s="375"/>
      <c r="K27" s="709"/>
      <c r="L27" s="104">
        <f t="shared" si="4"/>
        <v>0</v>
      </c>
      <c r="M27" s="375"/>
      <c r="N27" s="134"/>
      <c r="O27" s="104">
        <f t="shared" si="5"/>
        <v>0</v>
      </c>
      <c r="P27" s="122"/>
      <c r="Q27" s="134"/>
      <c r="R27" s="104">
        <f t="shared" si="6"/>
        <v>0</v>
      </c>
      <c r="S27" s="375"/>
      <c r="T27" s="134"/>
    </row>
    <row r="28" spans="1:20" s="61" customFormat="1" ht="38.25" customHeight="1">
      <c r="A28" s="639">
        <v>12</v>
      </c>
      <c r="B28" s="111" t="s">
        <v>357</v>
      </c>
      <c r="C28" s="104">
        <f t="shared" si="1"/>
        <v>50</v>
      </c>
      <c r="D28" s="370"/>
      <c r="E28" s="123">
        <v>50</v>
      </c>
      <c r="F28" s="104">
        <f t="shared" si="2"/>
        <v>50</v>
      </c>
      <c r="G28" s="122"/>
      <c r="H28" s="123">
        <v>50</v>
      </c>
      <c r="I28" s="104">
        <f t="shared" si="3"/>
        <v>50</v>
      </c>
      <c r="J28" s="375"/>
      <c r="K28" s="123">
        <v>50</v>
      </c>
      <c r="L28" s="104">
        <f t="shared" si="4"/>
        <v>50</v>
      </c>
      <c r="M28" s="375"/>
      <c r="N28" s="126">
        <v>50</v>
      </c>
      <c r="O28" s="104">
        <f t="shared" si="5"/>
        <v>50</v>
      </c>
      <c r="P28" s="122"/>
      <c r="Q28" s="126">
        <v>50</v>
      </c>
      <c r="R28" s="104">
        <f t="shared" si="6"/>
        <v>50</v>
      </c>
      <c r="S28" s="375"/>
      <c r="T28" s="126">
        <v>50</v>
      </c>
    </row>
    <row r="29" spans="1:20" s="61" customFormat="1" ht="12.75" customHeight="1">
      <c r="A29" s="639">
        <v>13</v>
      </c>
      <c r="B29" s="113" t="s">
        <v>358</v>
      </c>
      <c r="C29" s="104">
        <f t="shared" si="1"/>
        <v>99</v>
      </c>
      <c r="D29" s="370"/>
      <c r="E29" s="134">
        <v>99</v>
      </c>
      <c r="F29" s="104">
        <f t="shared" si="2"/>
        <v>0</v>
      </c>
      <c r="G29" s="122"/>
      <c r="H29" s="134"/>
      <c r="I29" s="104">
        <f t="shared" si="3"/>
        <v>0</v>
      </c>
      <c r="J29" s="375"/>
      <c r="K29" s="135"/>
      <c r="L29" s="104">
        <f t="shared" si="4"/>
        <v>99</v>
      </c>
      <c r="M29" s="375"/>
      <c r="N29" s="134">
        <v>99</v>
      </c>
      <c r="O29" s="104">
        <f t="shared" si="5"/>
        <v>0</v>
      </c>
      <c r="P29" s="122"/>
      <c r="Q29" s="134"/>
      <c r="R29" s="104">
        <f t="shared" si="6"/>
        <v>99</v>
      </c>
      <c r="S29" s="375"/>
      <c r="T29" s="134">
        <v>99</v>
      </c>
    </row>
    <row r="30" spans="1:20" s="61" customFormat="1" ht="47.25">
      <c r="A30" s="639">
        <v>14</v>
      </c>
      <c r="B30" s="111" t="s">
        <v>359</v>
      </c>
      <c r="C30" s="104">
        <f t="shared" si="1"/>
        <v>6</v>
      </c>
      <c r="D30" s="375"/>
      <c r="E30" s="122">
        <v>6</v>
      </c>
      <c r="F30" s="104">
        <f t="shared" si="2"/>
        <v>1</v>
      </c>
      <c r="G30" s="375"/>
      <c r="H30" s="122">
        <v>1</v>
      </c>
      <c r="I30" s="104">
        <f t="shared" si="3"/>
        <v>0</v>
      </c>
      <c r="J30" s="375"/>
      <c r="K30" s="709">
        <v>0</v>
      </c>
      <c r="L30" s="104">
        <f t="shared" si="4"/>
        <v>6</v>
      </c>
      <c r="M30" s="375"/>
      <c r="N30" s="122">
        <v>6</v>
      </c>
      <c r="O30" s="104">
        <f t="shared" si="5"/>
        <v>4</v>
      </c>
      <c r="P30" s="122"/>
      <c r="Q30" s="122">
        <v>4</v>
      </c>
      <c r="R30" s="104">
        <f t="shared" si="6"/>
        <v>0</v>
      </c>
      <c r="S30" s="375"/>
      <c r="T30" s="122">
        <v>0</v>
      </c>
    </row>
    <row r="31" spans="1:20" s="61" customFormat="1" ht="15.75">
      <c r="A31" s="639">
        <v>15</v>
      </c>
      <c r="B31" s="113" t="s">
        <v>485</v>
      </c>
      <c r="C31" s="104">
        <f t="shared" si="1"/>
        <v>7</v>
      </c>
      <c r="D31" s="370"/>
      <c r="E31" s="123">
        <v>7</v>
      </c>
      <c r="F31" s="104">
        <f t="shared" si="2"/>
        <v>6</v>
      </c>
      <c r="G31" s="122"/>
      <c r="H31" s="123">
        <v>6</v>
      </c>
      <c r="I31" s="104">
        <f t="shared" si="3"/>
        <v>2</v>
      </c>
      <c r="J31" s="122"/>
      <c r="K31" s="136">
        <v>2</v>
      </c>
      <c r="L31" s="104">
        <f t="shared" si="4"/>
        <v>7</v>
      </c>
      <c r="M31" s="375"/>
      <c r="N31" s="123">
        <v>7</v>
      </c>
      <c r="O31" s="104">
        <f t="shared" si="5"/>
        <v>0</v>
      </c>
      <c r="P31" s="122"/>
      <c r="Q31" s="123">
        <v>0</v>
      </c>
      <c r="R31" s="104">
        <f t="shared" si="6"/>
        <v>1</v>
      </c>
      <c r="S31" s="375"/>
      <c r="T31" s="123">
        <v>1</v>
      </c>
    </row>
    <row r="32" spans="1:20" s="61" customFormat="1" ht="47.25">
      <c r="A32" s="639">
        <v>16</v>
      </c>
      <c r="B32" s="111" t="s">
        <v>486</v>
      </c>
      <c r="C32" s="104">
        <f t="shared" si="1"/>
        <v>0</v>
      </c>
      <c r="D32" s="370"/>
      <c r="E32" s="122">
        <v>0</v>
      </c>
      <c r="F32" s="104">
        <f t="shared" si="2"/>
        <v>0</v>
      </c>
      <c r="G32" s="122"/>
      <c r="H32" s="122">
        <v>0</v>
      </c>
      <c r="I32" s="104">
        <f t="shared" si="3"/>
        <v>0</v>
      </c>
      <c r="J32" s="375"/>
      <c r="K32" s="709">
        <v>0</v>
      </c>
      <c r="L32" s="104">
        <f t="shared" si="4"/>
        <v>0</v>
      </c>
      <c r="M32" s="375"/>
      <c r="N32" s="134">
        <v>0</v>
      </c>
      <c r="O32" s="104">
        <f t="shared" si="5"/>
        <v>0</v>
      </c>
      <c r="P32" s="122"/>
      <c r="Q32" s="134">
        <v>0</v>
      </c>
      <c r="R32" s="104">
        <f t="shared" si="6"/>
        <v>0</v>
      </c>
      <c r="S32" s="375"/>
      <c r="T32" s="134">
        <v>0</v>
      </c>
    </row>
    <row r="33" spans="1:20" s="61" customFormat="1" ht="12.75" customHeight="1">
      <c r="A33" s="639">
        <v>17</v>
      </c>
      <c r="B33" s="111" t="s">
        <v>487</v>
      </c>
      <c r="C33" s="104">
        <f t="shared" si="1"/>
        <v>0</v>
      </c>
      <c r="D33" s="370"/>
      <c r="E33" s="122">
        <v>0</v>
      </c>
      <c r="F33" s="104">
        <f t="shared" si="2"/>
        <v>0</v>
      </c>
      <c r="G33" s="122"/>
      <c r="H33" s="122">
        <v>0</v>
      </c>
      <c r="I33" s="104">
        <f t="shared" si="3"/>
        <v>0</v>
      </c>
      <c r="J33" s="375"/>
      <c r="K33" s="709">
        <v>0</v>
      </c>
      <c r="L33" s="104">
        <f t="shared" si="4"/>
        <v>0</v>
      </c>
      <c r="M33" s="375"/>
      <c r="N33" s="134">
        <v>0</v>
      </c>
      <c r="O33" s="104">
        <f t="shared" si="5"/>
        <v>0</v>
      </c>
      <c r="P33" s="122"/>
      <c r="Q33" s="134">
        <v>0</v>
      </c>
      <c r="R33" s="104">
        <f t="shared" si="6"/>
        <v>0</v>
      </c>
      <c r="S33" s="375"/>
      <c r="T33" s="134">
        <v>0</v>
      </c>
    </row>
    <row r="34" spans="1:20" s="61" customFormat="1" ht="15.75">
      <c r="A34" s="639">
        <v>18</v>
      </c>
      <c r="B34" s="111" t="s">
        <v>360</v>
      </c>
      <c r="C34" s="104">
        <f t="shared" si="1"/>
        <v>0</v>
      </c>
      <c r="D34" s="370"/>
      <c r="E34" s="122">
        <v>0</v>
      </c>
      <c r="F34" s="104">
        <f t="shared" si="2"/>
        <v>0</v>
      </c>
      <c r="G34" s="122"/>
      <c r="H34" s="122">
        <v>0</v>
      </c>
      <c r="I34" s="104">
        <f t="shared" si="3"/>
        <v>0</v>
      </c>
      <c r="J34" s="375"/>
      <c r="K34" s="709">
        <v>0</v>
      </c>
      <c r="L34" s="104">
        <f t="shared" si="4"/>
        <v>0</v>
      </c>
      <c r="M34" s="375"/>
      <c r="N34" s="134">
        <v>0</v>
      </c>
      <c r="O34" s="104">
        <f t="shared" si="5"/>
        <v>0</v>
      </c>
      <c r="P34" s="122"/>
      <c r="Q34" s="134">
        <v>0</v>
      </c>
      <c r="R34" s="104">
        <f t="shared" si="6"/>
        <v>0</v>
      </c>
      <c r="S34" s="375"/>
      <c r="T34" s="134">
        <v>0</v>
      </c>
    </row>
    <row r="35" spans="1:20" s="708" customFormat="1" ht="47.25">
      <c r="A35" s="639">
        <v>19</v>
      </c>
      <c r="B35" s="110" t="s">
        <v>488</v>
      </c>
      <c r="C35" s="104">
        <f t="shared" si="1"/>
        <v>255</v>
      </c>
      <c r="D35" s="370"/>
      <c r="E35" s="123">
        <v>255</v>
      </c>
      <c r="F35" s="104">
        <f t="shared" si="2"/>
        <v>243</v>
      </c>
      <c r="G35" s="122"/>
      <c r="H35" s="123">
        <v>243</v>
      </c>
      <c r="I35" s="104">
        <f t="shared" si="3"/>
        <v>20</v>
      </c>
      <c r="J35" s="375"/>
      <c r="K35" s="136">
        <v>20</v>
      </c>
      <c r="L35" s="104">
        <f t="shared" si="4"/>
        <v>272</v>
      </c>
      <c r="M35" s="375"/>
      <c r="N35" s="123">
        <v>272</v>
      </c>
      <c r="O35" s="104">
        <f t="shared" si="5"/>
        <v>17</v>
      </c>
      <c r="P35" s="122"/>
      <c r="Q35" s="123">
        <v>17</v>
      </c>
      <c r="R35" s="104">
        <f t="shared" si="6"/>
        <v>199</v>
      </c>
      <c r="S35" s="375"/>
      <c r="T35" s="123">
        <v>199</v>
      </c>
    </row>
    <row r="36" spans="1:20" s="61" customFormat="1" ht="15.75">
      <c r="A36" s="639">
        <v>20</v>
      </c>
      <c r="B36" s="114" t="s">
        <v>361</v>
      </c>
      <c r="C36" s="104">
        <f t="shared" si="1"/>
        <v>0</v>
      </c>
      <c r="D36" s="370"/>
      <c r="E36" s="122">
        <v>0</v>
      </c>
      <c r="F36" s="104">
        <f t="shared" si="2"/>
        <v>0</v>
      </c>
      <c r="G36" s="122"/>
      <c r="H36" s="122">
        <v>0</v>
      </c>
      <c r="I36" s="104">
        <f t="shared" si="3"/>
        <v>0</v>
      </c>
      <c r="J36" s="375"/>
      <c r="K36" s="709">
        <v>0</v>
      </c>
      <c r="L36" s="104">
        <f t="shared" si="4"/>
        <v>0</v>
      </c>
      <c r="M36" s="375"/>
      <c r="N36" s="134">
        <v>0</v>
      </c>
      <c r="O36" s="104">
        <f t="shared" si="5"/>
        <v>0</v>
      </c>
      <c r="P36" s="122"/>
      <c r="Q36" s="134">
        <v>0</v>
      </c>
      <c r="R36" s="104">
        <f t="shared" si="6"/>
        <v>0</v>
      </c>
      <c r="S36" s="375"/>
      <c r="T36" s="134">
        <v>0</v>
      </c>
    </row>
    <row r="37" spans="1:20" s="61" customFormat="1" ht="31.5">
      <c r="A37" s="639">
        <v>21</v>
      </c>
      <c r="B37" s="113" t="s">
        <v>489</v>
      </c>
      <c r="C37" s="104">
        <f t="shared" si="1"/>
        <v>0</v>
      </c>
      <c r="D37" s="370"/>
      <c r="E37" s="122">
        <v>0</v>
      </c>
      <c r="F37" s="104">
        <f t="shared" si="2"/>
        <v>0</v>
      </c>
      <c r="G37" s="122"/>
      <c r="H37" s="122">
        <v>0</v>
      </c>
      <c r="I37" s="104">
        <f t="shared" si="3"/>
        <v>0</v>
      </c>
      <c r="J37" s="375"/>
      <c r="K37" s="709">
        <v>0</v>
      </c>
      <c r="L37" s="104">
        <f t="shared" si="4"/>
        <v>0</v>
      </c>
      <c r="M37" s="375"/>
      <c r="N37" s="134">
        <v>0</v>
      </c>
      <c r="O37" s="104">
        <f t="shared" si="5"/>
        <v>0</v>
      </c>
      <c r="P37" s="122"/>
      <c r="Q37" s="134">
        <v>0</v>
      </c>
      <c r="R37" s="104">
        <f t="shared" si="6"/>
        <v>0</v>
      </c>
      <c r="S37" s="375"/>
      <c r="T37" s="134">
        <v>0</v>
      </c>
    </row>
    <row r="38" spans="1:20" s="61" customFormat="1" ht="12.75" customHeight="1">
      <c r="A38" s="639">
        <v>22</v>
      </c>
      <c r="B38" s="111" t="s">
        <v>490</v>
      </c>
      <c r="C38" s="104">
        <f t="shared" si="1"/>
        <v>0</v>
      </c>
      <c r="D38" s="370"/>
      <c r="E38" s="122"/>
      <c r="F38" s="104">
        <f t="shared" si="2"/>
        <v>0</v>
      </c>
      <c r="G38" s="122"/>
      <c r="H38" s="122"/>
      <c r="I38" s="104">
        <f t="shared" si="3"/>
        <v>0</v>
      </c>
      <c r="J38" s="375"/>
      <c r="K38" s="709"/>
      <c r="L38" s="104">
        <f t="shared" si="4"/>
        <v>0</v>
      </c>
      <c r="M38" s="375"/>
      <c r="N38" s="134">
        <v>0</v>
      </c>
      <c r="O38" s="104">
        <f t="shared" si="5"/>
        <v>0</v>
      </c>
      <c r="P38" s="122"/>
      <c r="Q38" s="134">
        <v>0</v>
      </c>
      <c r="R38" s="104">
        <f t="shared" si="6"/>
        <v>0</v>
      </c>
      <c r="S38" s="375"/>
      <c r="T38" s="134">
        <v>0</v>
      </c>
    </row>
    <row r="39" spans="1:20" s="61" customFormat="1" ht="47.25">
      <c r="A39" s="639">
        <v>23</v>
      </c>
      <c r="B39" s="111" t="s">
        <v>491</v>
      </c>
      <c r="C39" s="104">
        <f t="shared" si="1"/>
        <v>0</v>
      </c>
      <c r="D39" s="124"/>
      <c r="E39" s="122">
        <v>0</v>
      </c>
      <c r="F39" s="104">
        <f t="shared" si="2"/>
        <v>0</v>
      </c>
      <c r="G39" s="122"/>
      <c r="H39" s="122">
        <v>0</v>
      </c>
      <c r="I39" s="104">
        <f t="shared" si="3"/>
        <v>0</v>
      </c>
      <c r="J39" s="375"/>
      <c r="K39" s="122">
        <v>0</v>
      </c>
      <c r="L39" s="104">
        <f t="shared" si="4"/>
        <v>0</v>
      </c>
      <c r="M39" s="375"/>
      <c r="N39" s="134">
        <v>0</v>
      </c>
      <c r="O39" s="104">
        <f t="shared" si="5"/>
        <v>0</v>
      </c>
      <c r="P39" s="122"/>
      <c r="Q39" s="134">
        <v>0</v>
      </c>
      <c r="R39" s="104">
        <f t="shared" si="6"/>
        <v>0</v>
      </c>
      <c r="S39" s="375"/>
      <c r="T39" s="134">
        <v>0</v>
      </c>
    </row>
    <row r="40" spans="1:20" s="61" customFormat="1" ht="47.25">
      <c r="A40" s="639">
        <v>24</v>
      </c>
      <c r="B40" s="111" t="s">
        <v>492</v>
      </c>
      <c r="C40" s="104">
        <f t="shared" si="1"/>
        <v>1</v>
      </c>
      <c r="D40" s="370"/>
      <c r="E40" s="122">
        <v>1</v>
      </c>
      <c r="F40" s="104">
        <f t="shared" si="2"/>
        <v>1</v>
      </c>
      <c r="G40" s="122"/>
      <c r="H40" s="122">
        <v>1</v>
      </c>
      <c r="I40" s="104">
        <f t="shared" si="3"/>
        <v>0</v>
      </c>
      <c r="J40" s="375"/>
      <c r="K40" s="122">
        <v>0</v>
      </c>
      <c r="L40" s="104">
        <f t="shared" si="4"/>
        <v>1</v>
      </c>
      <c r="M40" s="375"/>
      <c r="N40" s="134">
        <v>1</v>
      </c>
      <c r="O40" s="104">
        <f t="shared" si="5"/>
        <v>1</v>
      </c>
      <c r="P40" s="122"/>
      <c r="Q40" s="134">
        <v>1</v>
      </c>
      <c r="R40" s="104">
        <f t="shared" si="6"/>
        <v>1</v>
      </c>
      <c r="S40" s="375"/>
      <c r="T40" s="134">
        <v>1</v>
      </c>
    </row>
    <row r="41" spans="1:20" s="61" customFormat="1" ht="33" customHeight="1">
      <c r="A41" s="58">
        <v>21</v>
      </c>
      <c r="B41" s="68" t="s">
        <v>448</v>
      </c>
      <c r="C41" s="104">
        <f t="shared" si="1"/>
        <v>0</v>
      </c>
      <c r="D41" s="370"/>
      <c r="E41" s="124"/>
      <c r="F41" s="104">
        <f t="shared" si="2"/>
        <v>0</v>
      </c>
      <c r="G41" s="122"/>
      <c r="H41" s="375"/>
      <c r="I41" s="104">
        <f t="shared" si="3"/>
        <v>0</v>
      </c>
      <c r="J41" s="375"/>
      <c r="K41" s="375"/>
      <c r="L41" s="104">
        <f t="shared" si="4"/>
        <v>0</v>
      </c>
      <c r="M41" s="375"/>
      <c r="N41" s="375"/>
      <c r="O41" s="104">
        <f t="shared" si="5"/>
        <v>0</v>
      </c>
      <c r="P41" s="122"/>
      <c r="Q41" s="375"/>
      <c r="R41" s="104">
        <f t="shared" si="6"/>
        <v>0</v>
      </c>
      <c r="S41" s="375"/>
      <c r="T41" s="122"/>
    </row>
    <row r="42" spans="1:20" s="66" customFormat="1" ht="38.25" customHeight="1">
      <c r="A42" s="851" t="s">
        <v>327</v>
      </c>
      <c r="B42" s="857"/>
      <c r="C42" s="100">
        <f aca="true" t="shared" si="7" ref="C42:T42">SUM(C43:C105)</f>
        <v>520</v>
      </c>
      <c r="D42" s="100"/>
      <c r="E42" s="100">
        <f t="shared" si="7"/>
        <v>520</v>
      </c>
      <c r="F42" s="100">
        <f t="shared" si="7"/>
        <v>492</v>
      </c>
      <c r="G42" s="100"/>
      <c r="H42" s="100">
        <f t="shared" si="7"/>
        <v>492</v>
      </c>
      <c r="I42" s="100">
        <f t="shared" si="7"/>
        <v>45</v>
      </c>
      <c r="J42" s="100"/>
      <c r="K42" s="100">
        <f t="shared" si="7"/>
        <v>45</v>
      </c>
      <c r="L42" s="100">
        <f t="shared" si="7"/>
        <v>568</v>
      </c>
      <c r="M42" s="100"/>
      <c r="N42" s="100">
        <f t="shared" si="7"/>
        <v>568</v>
      </c>
      <c r="O42" s="100">
        <f t="shared" si="7"/>
        <v>307</v>
      </c>
      <c r="P42" s="100"/>
      <c r="Q42" s="100">
        <f t="shared" si="7"/>
        <v>307</v>
      </c>
      <c r="R42" s="100">
        <f t="shared" si="7"/>
        <v>524</v>
      </c>
      <c r="S42" s="100"/>
      <c r="T42" s="100">
        <f t="shared" si="7"/>
        <v>524</v>
      </c>
    </row>
    <row r="43" spans="1:20" s="61" customFormat="1" ht="15.75">
      <c r="A43" s="59">
        <v>1</v>
      </c>
      <c r="B43" s="69" t="s">
        <v>449</v>
      </c>
      <c r="C43" s="101">
        <f aca="true" t="shared" si="8" ref="C43:C105">D43+E43</f>
        <v>7</v>
      </c>
      <c r="D43" s="23"/>
      <c r="E43" s="131">
        <v>7</v>
      </c>
      <c r="F43" s="101">
        <f aca="true" t="shared" si="9" ref="F43:F105">G43+H43</f>
        <v>7</v>
      </c>
      <c r="G43" s="14"/>
      <c r="H43" s="131">
        <v>7</v>
      </c>
      <c r="I43" s="101">
        <f aca="true" t="shared" si="10" ref="I43:I105">J43+K43</f>
        <v>0</v>
      </c>
      <c r="J43" s="14"/>
      <c r="K43" s="131"/>
      <c r="L43" s="101">
        <f aca="true" t="shared" si="11" ref="L43:L105">M43+N43</f>
        <v>7</v>
      </c>
      <c r="M43" s="44"/>
      <c r="N43" s="122">
        <v>7</v>
      </c>
      <c r="O43" s="101">
        <f aca="true" t="shared" si="12" ref="O43:O105">P43+Q43</f>
        <v>0</v>
      </c>
      <c r="P43" s="14"/>
      <c r="Q43" s="122">
        <v>0</v>
      </c>
      <c r="R43" s="101">
        <f aca="true" t="shared" si="13" ref="R43:R105">S43+T43</f>
        <v>7</v>
      </c>
      <c r="S43" s="137"/>
      <c r="T43" s="122">
        <v>7</v>
      </c>
    </row>
    <row r="44" spans="1:20" s="61" customFormat="1" ht="31.5">
      <c r="A44" s="59">
        <v>2</v>
      </c>
      <c r="B44" s="69" t="s">
        <v>450</v>
      </c>
      <c r="C44" s="101">
        <f t="shared" si="8"/>
        <v>13</v>
      </c>
      <c r="D44" s="23"/>
      <c r="E44" s="131">
        <v>13</v>
      </c>
      <c r="F44" s="101">
        <f t="shared" si="9"/>
        <v>13</v>
      </c>
      <c r="G44" s="14"/>
      <c r="H44" s="131">
        <v>13</v>
      </c>
      <c r="I44" s="101">
        <f t="shared" si="10"/>
        <v>1</v>
      </c>
      <c r="J44" s="14"/>
      <c r="K44" s="131">
        <v>1</v>
      </c>
      <c r="L44" s="101">
        <f t="shared" si="11"/>
        <v>13</v>
      </c>
      <c r="M44" s="44"/>
      <c r="N44" s="122">
        <v>13</v>
      </c>
      <c r="O44" s="101">
        <f t="shared" si="12"/>
        <v>0</v>
      </c>
      <c r="P44" s="14"/>
      <c r="Q44" s="122">
        <v>0</v>
      </c>
      <c r="R44" s="101">
        <f t="shared" si="13"/>
        <v>13</v>
      </c>
      <c r="S44" s="137"/>
      <c r="T44" s="122">
        <v>13</v>
      </c>
    </row>
    <row r="45" spans="1:20" s="61" customFormat="1" ht="15.75">
      <c r="A45" s="59">
        <v>3</v>
      </c>
      <c r="B45" s="69" t="s">
        <v>451</v>
      </c>
      <c r="C45" s="101">
        <f t="shared" si="8"/>
        <v>4</v>
      </c>
      <c r="D45" s="23"/>
      <c r="E45" s="131">
        <v>4</v>
      </c>
      <c r="F45" s="101">
        <f t="shared" si="9"/>
        <v>4</v>
      </c>
      <c r="G45" s="14"/>
      <c r="H45" s="131">
        <v>4</v>
      </c>
      <c r="I45" s="101">
        <f t="shared" si="10"/>
        <v>4</v>
      </c>
      <c r="J45" s="14"/>
      <c r="K45" s="131">
        <v>4</v>
      </c>
      <c r="L45" s="101">
        <f t="shared" si="11"/>
        <v>4</v>
      </c>
      <c r="M45" s="44"/>
      <c r="N45" s="131">
        <v>4</v>
      </c>
      <c r="O45" s="101">
        <f t="shared" si="12"/>
        <v>4</v>
      </c>
      <c r="P45" s="14"/>
      <c r="Q45" s="131">
        <v>4</v>
      </c>
      <c r="R45" s="101">
        <f t="shared" si="13"/>
        <v>4</v>
      </c>
      <c r="S45" s="137"/>
      <c r="T45" s="131">
        <v>4</v>
      </c>
    </row>
    <row r="46" spans="1:20" ht="15.75">
      <c r="A46" s="59">
        <v>4</v>
      </c>
      <c r="B46" s="69" t="s">
        <v>452</v>
      </c>
      <c r="C46" s="101">
        <f t="shared" si="8"/>
        <v>0</v>
      </c>
      <c r="D46" s="23"/>
      <c r="E46" s="131">
        <v>0</v>
      </c>
      <c r="F46" s="101">
        <f t="shared" si="9"/>
        <v>0</v>
      </c>
      <c r="G46" s="14"/>
      <c r="H46" s="131">
        <v>0</v>
      </c>
      <c r="I46" s="101">
        <f t="shared" si="10"/>
        <v>0</v>
      </c>
      <c r="J46" s="14"/>
      <c r="K46" s="131">
        <v>0</v>
      </c>
      <c r="L46" s="101">
        <f t="shared" si="11"/>
        <v>0</v>
      </c>
      <c r="M46" s="44"/>
      <c r="N46" s="131">
        <v>0</v>
      </c>
      <c r="O46" s="101">
        <f t="shared" si="12"/>
        <v>0</v>
      </c>
      <c r="P46" s="14"/>
      <c r="Q46" s="131">
        <v>0</v>
      </c>
      <c r="R46" s="101">
        <f t="shared" si="13"/>
        <v>0</v>
      </c>
      <c r="S46" s="138"/>
      <c r="T46" s="131">
        <v>0</v>
      </c>
    </row>
    <row r="47" spans="1:20" ht="15.75">
      <c r="A47" s="59">
        <v>5</v>
      </c>
      <c r="B47" s="69" t="s">
        <v>453</v>
      </c>
      <c r="C47" s="101">
        <f t="shared" si="8"/>
        <v>1</v>
      </c>
      <c r="D47" s="23"/>
      <c r="E47" s="131">
        <v>1</v>
      </c>
      <c r="F47" s="101">
        <f t="shared" si="9"/>
        <v>1</v>
      </c>
      <c r="G47" s="14"/>
      <c r="H47" s="131">
        <v>1</v>
      </c>
      <c r="I47" s="101">
        <f t="shared" si="10"/>
        <v>0</v>
      </c>
      <c r="J47" s="14"/>
      <c r="K47" s="131">
        <v>0</v>
      </c>
      <c r="L47" s="101">
        <f t="shared" si="11"/>
        <v>1</v>
      </c>
      <c r="M47" s="44"/>
      <c r="N47" s="122">
        <v>1</v>
      </c>
      <c r="O47" s="101">
        <f t="shared" si="12"/>
        <v>0</v>
      </c>
      <c r="P47" s="14"/>
      <c r="Q47" s="122">
        <v>0</v>
      </c>
      <c r="R47" s="101">
        <f t="shared" si="13"/>
        <v>1</v>
      </c>
      <c r="S47" s="138"/>
      <c r="T47" s="122">
        <v>1</v>
      </c>
    </row>
    <row r="48" spans="1:20" ht="15.75">
      <c r="A48" s="59">
        <v>6</v>
      </c>
      <c r="B48" s="69" t="s">
        <v>454</v>
      </c>
      <c r="C48" s="101">
        <f t="shared" si="8"/>
        <v>0</v>
      </c>
      <c r="D48" s="23"/>
      <c r="E48" s="131">
        <v>0</v>
      </c>
      <c r="F48" s="101">
        <f t="shared" si="9"/>
        <v>0</v>
      </c>
      <c r="G48" s="14"/>
      <c r="H48" s="131">
        <v>0</v>
      </c>
      <c r="I48" s="101">
        <f t="shared" si="10"/>
        <v>0</v>
      </c>
      <c r="J48" s="14"/>
      <c r="K48" s="131">
        <v>0</v>
      </c>
      <c r="L48" s="101">
        <f t="shared" si="11"/>
        <v>0</v>
      </c>
      <c r="M48" s="44"/>
      <c r="N48" s="122">
        <v>0</v>
      </c>
      <c r="O48" s="101">
        <f t="shared" si="12"/>
        <v>0</v>
      </c>
      <c r="P48" s="14"/>
      <c r="Q48" s="122">
        <v>0</v>
      </c>
      <c r="R48" s="101">
        <f t="shared" si="13"/>
        <v>0</v>
      </c>
      <c r="S48" s="138"/>
      <c r="T48" s="122">
        <v>0</v>
      </c>
    </row>
    <row r="49" spans="1:20" ht="15.75">
      <c r="A49" s="59">
        <v>7</v>
      </c>
      <c r="B49" s="69" t="s">
        <v>455</v>
      </c>
      <c r="C49" s="101">
        <f t="shared" si="8"/>
        <v>3</v>
      </c>
      <c r="D49" s="23"/>
      <c r="E49" s="131">
        <v>3</v>
      </c>
      <c r="F49" s="101">
        <f t="shared" si="9"/>
        <v>3</v>
      </c>
      <c r="G49" s="14"/>
      <c r="H49" s="131">
        <v>3</v>
      </c>
      <c r="I49" s="101">
        <f t="shared" si="10"/>
        <v>0</v>
      </c>
      <c r="J49" s="14"/>
      <c r="K49" s="131"/>
      <c r="L49" s="101">
        <f t="shared" si="11"/>
        <v>3</v>
      </c>
      <c r="M49" s="44"/>
      <c r="N49" s="122">
        <v>3</v>
      </c>
      <c r="O49" s="101">
        <f t="shared" si="12"/>
        <v>3</v>
      </c>
      <c r="P49" s="14"/>
      <c r="Q49" s="122">
        <v>3</v>
      </c>
      <c r="R49" s="101">
        <f t="shared" si="13"/>
        <v>3</v>
      </c>
      <c r="S49" s="138"/>
      <c r="T49" s="122">
        <v>3</v>
      </c>
    </row>
    <row r="50" spans="1:20" ht="15.75">
      <c r="A50" s="59">
        <v>8</v>
      </c>
      <c r="B50" s="69" t="s">
        <v>456</v>
      </c>
      <c r="C50" s="101">
        <f t="shared" si="8"/>
        <v>0</v>
      </c>
      <c r="D50" s="23"/>
      <c r="E50" s="131">
        <v>0</v>
      </c>
      <c r="F50" s="101">
        <f t="shared" si="9"/>
        <v>0</v>
      </c>
      <c r="G50" s="14"/>
      <c r="H50" s="131">
        <v>0</v>
      </c>
      <c r="I50" s="101">
        <f t="shared" si="10"/>
        <v>0</v>
      </c>
      <c r="J50" s="14"/>
      <c r="K50" s="131">
        <v>0</v>
      </c>
      <c r="L50" s="101">
        <f t="shared" si="11"/>
        <v>0</v>
      </c>
      <c r="M50" s="44"/>
      <c r="N50" s="122">
        <v>0</v>
      </c>
      <c r="O50" s="101">
        <f t="shared" si="12"/>
        <v>0</v>
      </c>
      <c r="P50" s="14"/>
      <c r="Q50" s="122">
        <v>0</v>
      </c>
      <c r="R50" s="101">
        <f t="shared" si="13"/>
        <v>0</v>
      </c>
      <c r="S50" s="138"/>
      <c r="T50" s="122">
        <v>0</v>
      </c>
    </row>
    <row r="51" spans="1:20" ht="15.75">
      <c r="A51" s="59">
        <v>9</v>
      </c>
      <c r="B51" s="69" t="s">
        <v>457</v>
      </c>
      <c r="C51" s="101">
        <f t="shared" si="8"/>
        <v>0</v>
      </c>
      <c r="D51" s="23"/>
      <c r="E51" s="131">
        <v>0</v>
      </c>
      <c r="F51" s="101">
        <f t="shared" si="9"/>
        <v>0</v>
      </c>
      <c r="G51" s="14"/>
      <c r="H51" s="131">
        <v>0</v>
      </c>
      <c r="I51" s="101">
        <f t="shared" si="10"/>
        <v>0</v>
      </c>
      <c r="J51" s="14"/>
      <c r="K51" s="131">
        <v>0</v>
      </c>
      <c r="L51" s="101">
        <f t="shared" si="11"/>
        <v>0</v>
      </c>
      <c r="M51" s="44"/>
      <c r="N51" s="122">
        <v>0</v>
      </c>
      <c r="O51" s="101">
        <f t="shared" si="12"/>
        <v>0</v>
      </c>
      <c r="P51" s="14"/>
      <c r="Q51" s="122">
        <v>0</v>
      </c>
      <c r="R51" s="101">
        <f t="shared" si="13"/>
        <v>0</v>
      </c>
      <c r="S51" s="138"/>
      <c r="T51" s="122">
        <v>0</v>
      </c>
    </row>
    <row r="52" spans="1:20" ht="15.75">
      <c r="A52" s="59">
        <v>10</v>
      </c>
      <c r="B52" s="69" t="s">
        <v>362</v>
      </c>
      <c r="C52" s="101">
        <f t="shared" si="8"/>
        <v>0</v>
      </c>
      <c r="D52" s="23"/>
      <c r="E52" s="131">
        <v>0</v>
      </c>
      <c r="F52" s="101">
        <f t="shared" si="9"/>
        <v>0</v>
      </c>
      <c r="G52" s="14"/>
      <c r="H52" s="131">
        <v>0</v>
      </c>
      <c r="I52" s="101">
        <f t="shared" si="10"/>
        <v>0</v>
      </c>
      <c r="J52" s="14"/>
      <c r="K52" s="131">
        <v>0</v>
      </c>
      <c r="L52" s="101">
        <f t="shared" si="11"/>
        <v>0</v>
      </c>
      <c r="M52" s="44"/>
      <c r="N52" s="122">
        <v>0</v>
      </c>
      <c r="O52" s="101">
        <f t="shared" si="12"/>
        <v>0</v>
      </c>
      <c r="P52" s="14"/>
      <c r="Q52" s="122">
        <v>0</v>
      </c>
      <c r="R52" s="101">
        <f t="shared" si="13"/>
        <v>0</v>
      </c>
      <c r="S52" s="138"/>
      <c r="T52" s="122">
        <v>0</v>
      </c>
    </row>
    <row r="53" spans="1:20" ht="15.75">
      <c r="A53" s="59">
        <v>11</v>
      </c>
      <c r="B53" s="69" t="s">
        <v>363</v>
      </c>
      <c r="C53" s="101">
        <f t="shared" si="8"/>
        <v>75</v>
      </c>
      <c r="D53" s="23"/>
      <c r="E53" s="131">
        <v>75</v>
      </c>
      <c r="F53" s="101">
        <f t="shared" si="9"/>
        <v>55</v>
      </c>
      <c r="G53" s="14"/>
      <c r="H53" s="131">
        <v>55</v>
      </c>
      <c r="I53" s="101">
        <f t="shared" si="10"/>
        <v>0</v>
      </c>
      <c r="J53" s="14"/>
      <c r="K53" s="131">
        <v>0</v>
      </c>
      <c r="L53" s="101">
        <f t="shared" si="11"/>
        <v>75</v>
      </c>
      <c r="M53" s="44"/>
      <c r="N53" s="122">
        <v>75</v>
      </c>
      <c r="O53" s="101">
        <f t="shared" si="12"/>
        <v>20</v>
      </c>
      <c r="P53" s="14"/>
      <c r="Q53" s="122">
        <v>20</v>
      </c>
      <c r="R53" s="101">
        <f t="shared" si="13"/>
        <v>55</v>
      </c>
      <c r="S53" s="138"/>
      <c r="T53" s="122">
        <v>55</v>
      </c>
    </row>
    <row r="54" spans="1:20" ht="15.75">
      <c r="A54" s="59">
        <v>12</v>
      </c>
      <c r="B54" s="69" t="s">
        <v>364</v>
      </c>
      <c r="C54" s="101">
        <f t="shared" si="8"/>
        <v>4</v>
      </c>
      <c r="D54" s="23"/>
      <c r="E54" s="131">
        <v>4</v>
      </c>
      <c r="F54" s="101">
        <f t="shared" si="9"/>
        <v>4</v>
      </c>
      <c r="G54" s="14"/>
      <c r="H54" s="131">
        <v>4</v>
      </c>
      <c r="I54" s="101">
        <f t="shared" si="10"/>
        <v>0</v>
      </c>
      <c r="J54" s="14"/>
      <c r="K54" s="131"/>
      <c r="L54" s="101">
        <f t="shared" si="11"/>
        <v>4</v>
      </c>
      <c r="M54" s="44"/>
      <c r="N54" s="122">
        <v>4</v>
      </c>
      <c r="O54" s="101">
        <f t="shared" si="12"/>
        <v>0</v>
      </c>
      <c r="P54" s="14"/>
      <c r="Q54" s="122">
        <v>0</v>
      </c>
      <c r="R54" s="101">
        <f t="shared" si="13"/>
        <v>4</v>
      </c>
      <c r="S54" s="138"/>
      <c r="T54" s="122">
        <v>4</v>
      </c>
    </row>
    <row r="55" spans="1:20" ht="15.75">
      <c r="A55" s="59">
        <v>13</v>
      </c>
      <c r="B55" s="69" t="s">
        <v>365</v>
      </c>
      <c r="C55" s="101">
        <f t="shared" si="8"/>
        <v>3</v>
      </c>
      <c r="D55" s="14"/>
      <c r="E55" s="131">
        <v>3</v>
      </c>
      <c r="F55" s="101">
        <f t="shared" si="9"/>
        <v>3</v>
      </c>
      <c r="G55" s="14"/>
      <c r="H55" s="131">
        <v>3</v>
      </c>
      <c r="I55" s="101">
        <f t="shared" si="10"/>
        <v>0</v>
      </c>
      <c r="J55" s="14"/>
      <c r="K55" s="131"/>
      <c r="L55" s="101">
        <f t="shared" si="11"/>
        <v>3</v>
      </c>
      <c r="M55" s="44"/>
      <c r="N55" s="122">
        <v>3</v>
      </c>
      <c r="O55" s="101">
        <f t="shared" si="12"/>
        <v>0</v>
      </c>
      <c r="P55" s="14"/>
      <c r="Q55" s="122">
        <v>0</v>
      </c>
      <c r="R55" s="101">
        <f t="shared" si="13"/>
        <v>3</v>
      </c>
      <c r="S55" s="138"/>
      <c r="T55" s="122">
        <v>3</v>
      </c>
    </row>
    <row r="56" spans="1:20" ht="15.75">
      <c r="A56" s="59">
        <v>14</v>
      </c>
      <c r="B56" s="69" t="s">
        <v>366</v>
      </c>
      <c r="C56" s="101">
        <f t="shared" si="8"/>
        <v>0</v>
      </c>
      <c r="D56" s="23"/>
      <c r="E56" s="131">
        <v>0</v>
      </c>
      <c r="F56" s="101">
        <f t="shared" si="9"/>
        <v>0</v>
      </c>
      <c r="G56" s="14"/>
      <c r="H56" s="131">
        <v>0</v>
      </c>
      <c r="I56" s="101">
        <f t="shared" si="10"/>
        <v>0</v>
      </c>
      <c r="J56" s="14"/>
      <c r="K56" s="131">
        <v>0</v>
      </c>
      <c r="L56" s="101">
        <f t="shared" si="11"/>
        <v>0</v>
      </c>
      <c r="M56" s="44"/>
      <c r="N56" s="122">
        <v>0</v>
      </c>
      <c r="O56" s="101">
        <f t="shared" si="12"/>
        <v>0</v>
      </c>
      <c r="P56" s="14"/>
      <c r="Q56" s="122">
        <v>0</v>
      </c>
      <c r="R56" s="101">
        <f t="shared" si="13"/>
        <v>0</v>
      </c>
      <c r="S56" s="138"/>
      <c r="T56" s="122">
        <v>0</v>
      </c>
    </row>
    <row r="57" spans="1:21" ht="15.75">
      <c r="A57" s="59">
        <v>15</v>
      </c>
      <c r="B57" s="69" t="s">
        <v>367</v>
      </c>
      <c r="C57" s="151">
        <f t="shared" si="8"/>
        <v>0</v>
      </c>
      <c r="D57" s="23"/>
      <c r="E57" s="131">
        <v>0</v>
      </c>
      <c r="F57" s="101">
        <f t="shared" si="9"/>
        <v>0</v>
      </c>
      <c r="G57" s="14"/>
      <c r="H57" s="131">
        <v>0</v>
      </c>
      <c r="I57" s="101">
        <f t="shared" si="10"/>
        <v>0</v>
      </c>
      <c r="J57" s="14"/>
      <c r="K57" s="131">
        <v>0</v>
      </c>
      <c r="L57" s="151">
        <f t="shared" si="11"/>
        <v>35</v>
      </c>
      <c r="M57" s="44"/>
      <c r="N57" s="122">
        <v>35</v>
      </c>
      <c r="O57" s="101">
        <f t="shared" si="12"/>
        <v>4</v>
      </c>
      <c r="P57" s="14"/>
      <c r="Q57" s="122">
        <v>4</v>
      </c>
      <c r="R57" s="101">
        <f t="shared" si="13"/>
        <v>31</v>
      </c>
      <c r="S57" s="138"/>
      <c r="T57" s="122">
        <v>31</v>
      </c>
      <c r="U57" s="61" t="s">
        <v>504</v>
      </c>
    </row>
    <row r="58" spans="1:20" ht="15.75">
      <c r="A58" s="59">
        <v>16</v>
      </c>
      <c r="B58" s="69" t="s">
        <v>368</v>
      </c>
      <c r="C58" s="101">
        <f t="shared" si="8"/>
        <v>1</v>
      </c>
      <c r="D58" s="23"/>
      <c r="E58" s="131">
        <v>1</v>
      </c>
      <c r="F58" s="101">
        <f t="shared" si="9"/>
        <v>1</v>
      </c>
      <c r="G58" s="14"/>
      <c r="H58" s="131">
        <v>1</v>
      </c>
      <c r="I58" s="101">
        <f t="shared" si="10"/>
        <v>1</v>
      </c>
      <c r="J58" s="14"/>
      <c r="K58" s="131">
        <v>1</v>
      </c>
      <c r="L58" s="101">
        <f t="shared" si="11"/>
        <v>1</v>
      </c>
      <c r="M58" s="44"/>
      <c r="N58" s="122">
        <v>1</v>
      </c>
      <c r="O58" s="101">
        <f t="shared" si="12"/>
        <v>0</v>
      </c>
      <c r="P58" s="14"/>
      <c r="Q58" s="122">
        <v>0</v>
      </c>
      <c r="R58" s="101">
        <f t="shared" si="13"/>
        <v>1</v>
      </c>
      <c r="S58" s="138"/>
      <c r="T58" s="122">
        <v>1</v>
      </c>
    </row>
    <row r="59" spans="1:20" ht="15.75">
      <c r="A59" s="59">
        <v>17</v>
      </c>
      <c r="B59" s="69" t="s">
        <v>369</v>
      </c>
      <c r="C59" s="101">
        <f t="shared" si="8"/>
        <v>3</v>
      </c>
      <c r="D59" s="23"/>
      <c r="E59" s="131">
        <v>3</v>
      </c>
      <c r="F59" s="101">
        <f t="shared" si="9"/>
        <v>3</v>
      </c>
      <c r="G59" s="14"/>
      <c r="H59" s="131">
        <v>3</v>
      </c>
      <c r="I59" s="101">
        <f t="shared" si="10"/>
        <v>0</v>
      </c>
      <c r="J59" s="14"/>
      <c r="K59" s="131">
        <v>0</v>
      </c>
      <c r="L59" s="101">
        <f t="shared" si="11"/>
        <v>3</v>
      </c>
      <c r="M59" s="44"/>
      <c r="N59" s="122">
        <v>3</v>
      </c>
      <c r="O59" s="101">
        <f t="shared" si="12"/>
        <v>0</v>
      </c>
      <c r="P59" s="14"/>
      <c r="Q59" s="122">
        <v>0</v>
      </c>
      <c r="R59" s="101">
        <f t="shared" si="13"/>
        <v>3</v>
      </c>
      <c r="S59" s="138"/>
      <c r="T59" s="122">
        <v>3</v>
      </c>
    </row>
    <row r="60" spans="1:20" ht="15.75">
      <c r="A60" s="59">
        <v>18</v>
      </c>
      <c r="B60" s="69" t="s">
        <v>370</v>
      </c>
      <c r="C60" s="101">
        <f t="shared" si="8"/>
        <v>0</v>
      </c>
      <c r="D60" s="23"/>
      <c r="E60" s="131">
        <v>0</v>
      </c>
      <c r="F60" s="101">
        <f t="shared" si="9"/>
        <v>0</v>
      </c>
      <c r="G60" s="14"/>
      <c r="H60" s="131">
        <v>0</v>
      </c>
      <c r="I60" s="101">
        <f t="shared" si="10"/>
        <v>0</v>
      </c>
      <c r="J60" s="14"/>
      <c r="K60" s="131">
        <v>0</v>
      </c>
      <c r="L60" s="101">
        <f t="shared" si="11"/>
        <v>0</v>
      </c>
      <c r="M60" s="44"/>
      <c r="N60" s="122">
        <v>0</v>
      </c>
      <c r="O60" s="101">
        <f t="shared" si="12"/>
        <v>0</v>
      </c>
      <c r="P60" s="14"/>
      <c r="Q60" s="122">
        <v>0</v>
      </c>
      <c r="R60" s="101">
        <f t="shared" si="13"/>
        <v>0</v>
      </c>
      <c r="S60" s="138"/>
      <c r="T60" s="122">
        <v>0</v>
      </c>
    </row>
    <row r="61" spans="1:20" ht="15.75">
      <c r="A61" s="59">
        <v>19</v>
      </c>
      <c r="B61" s="70" t="s">
        <v>371</v>
      </c>
      <c r="C61" s="101">
        <f t="shared" si="8"/>
        <v>6</v>
      </c>
      <c r="D61" s="45"/>
      <c r="E61" s="131">
        <v>6</v>
      </c>
      <c r="F61" s="101">
        <f t="shared" si="9"/>
        <v>6</v>
      </c>
      <c r="G61" s="45"/>
      <c r="H61" s="131">
        <v>6</v>
      </c>
      <c r="I61" s="101">
        <f t="shared" si="10"/>
        <v>4</v>
      </c>
      <c r="J61" s="45"/>
      <c r="K61" s="131">
        <v>4</v>
      </c>
      <c r="L61" s="101">
        <f t="shared" si="11"/>
        <v>4</v>
      </c>
      <c r="M61" s="54"/>
      <c r="N61" s="122">
        <v>4</v>
      </c>
      <c r="O61" s="101">
        <f t="shared" si="12"/>
        <v>0</v>
      </c>
      <c r="P61" s="45"/>
      <c r="Q61" s="122"/>
      <c r="R61" s="101">
        <f t="shared" si="13"/>
        <v>0</v>
      </c>
      <c r="S61" s="138"/>
      <c r="T61" s="122"/>
    </row>
    <row r="62" spans="1:20" ht="15.75">
      <c r="A62" s="59">
        <v>20</v>
      </c>
      <c r="B62" s="70" t="s">
        <v>372</v>
      </c>
      <c r="C62" s="101">
        <f t="shared" si="8"/>
        <v>0</v>
      </c>
      <c r="D62" s="45"/>
      <c r="E62" s="131">
        <v>0</v>
      </c>
      <c r="F62" s="101">
        <f t="shared" si="9"/>
        <v>0</v>
      </c>
      <c r="G62" s="46"/>
      <c r="H62" s="131">
        <v>0</v>
      </c>
      <c r="I62" s="101">
        <f t="shared" si="10"/>
        <v>0</v>
      </c>
      <c r="J62" s="46"/>
      <c r="K62" s="131">
        <v>0</v>
      </c>
      <c r="L62" s="101">
        <f t="shared" si="11"/>
        <v>0</v>
      </c>
      <c r="M62" s="44"/>
      <c r="N62" s="122">
        <v>0</v>
      </c>
      <c r="O62" s="101">
        <f t="shared" si="12"/>
        <v>0</v>
      </c>
      <c r="P62" s="46"/>
      <c r="Q62" s="122">
        <v>0</v>
      </c>
      <c r="R62" s="101">
        <f t="shared" si="13"/>
        <v>0</v>
      </c>
      <c r="S62" s="138"/>
      <c r="T62" s="122">
        <v>0</v>
      </c>
    </row>
    <row r="63" spans="1:20" ht="15.75">
      <c r="A63" s="59">
        <v>21</v>
      </c>
      <c r="B63" s="70" t="s">
        <v>373</v>
      </c>
      <c r="C63" s="101">
        <f t="shared" si="8"/>
        <v>0</v>
      </c>
      <c r="D63" s="45"/>
      <c r="E63" s="131">
        <v>0</v>
      </c>
      <c r="F63" s="101">
        <f t="shared" si="9"/>
        <v>0</v>
      </c>
      <c r="G63" s="46"/>
      <c r="H63" s="131">
        <v>0</v>
      </c>
      <c r="I63" s="101">
        <f t="shared" si="10"/>
        <v>0</v>
      </c>
      <c r="J63" s="46"/>
      <c r="K63" s="131">
        <v>0</v>
      </c>
      <c r="L63" s="101">
        <f t="shared" si="11"/>
        <v>0</v>
      </c>
      <c r="M63" s="44"/>
      <c r="N63" s="122">
        <v>0</v>
      </c>
      <c r="O63" s="101">
        <f t="shared" si="12"/>
        <v>0</v>
      </c>
      <c r="P63" s="46"/>
      <c r="Q63" s="122">
        <v>0</v>
      </c>
      <c r="R63" s="101">
        <f t="shared" si="13"/>
        <v>0</v>
      </c>
      <c r="S63" s="138"/>
      <c r="T63" s="122">
        <v>0</v>
      </c>
    </row>
    <row r="64" spans="1:20" ht="15.75">
      <c r="A64" s="59">
        <v>22</v>
      </c>
      <c r="B64" s="70" t="s">
        <v>374</v>
      </c>
      <c r="C64" s="101">
        <f t="shared" si="8"/>
        <v>1</v>
      </c>
      <c r="D64" s="45"/>
      <c r="E64" s="131">
        <v>1</v>
      </c>
      <c r="F64" s="101">
        <f t="shared" si="9"/>
        <v>1</v>
      </c>
      <c r="G64" s="46"/>
      <c r="H64" s="131">
        <v>1</v>
      </c>
      <c r="I64" s="101">
        <f t="shared" si="10"/>
        <v>0</v>
      </c>
      <c r="J64" s="46"/>
      <c r="K64" s="131">
        <v>0</v>
      </c>
      <c r="L64" s="101">
        <f t="shared" si="11"/>
        <v>1</v>
      </c>
      <c r="M64" s="44"/>
      <c r="N64" s="122">
        <v>1</v>
      </c>
      <c r="O64" s="101">
        <f t="shared" si="12"/>
        <v>1</v>
      </c>
      <c r="P64" s="46"/>
      <c r="Q64" s="122">
        <v>1</v>
      </c>
      <c r="R64" s="101">
        <f t="shared" si="13"/>
        <v>0</v>
      </c>
      <c r="S64" s="138"/>
      <c r="T64" s="122">
        <v>0</v>
      </c>
    </row>
    <row r="65" spans="1:20" ht="15.75">
      <c r="A65" s="59">
        <v>23</v>
      </c>
      <c r="B65" s="70" t="s">
        <v>375</v>
      </c>
      <c r="C65" s="101">
        <f t="shared" si="8"/>
        <v>0</v>
      </c>
      <c r="D65" s="45"/>
      <c r="E65" s="131">
        <v>0</v>
      </c>
      <c r="F65" s="101">
        <f t="shared" si="9"/>
        <v>0</v>
      </c>
      <c r="G65" s="46"/>
      <c r="H65" s="131">
        <v>0</v>
      </c>
      <c r="I65" s="101">
        <f t="shared" si="10"/>
        <v>0</v>
      </c>
      <c r="J65" s="46"/>
      <c r="K65" s="131">
        <v>0</v>
      </c>
      <c r="L65" s="101">
        <f t="shared" si="11"/>
        <v>0</v>
      </c>
      <c r="M65" s="44"/>
      <c r="N65" s="122">
        <v>0</v>
      </c>
      <c r="O65" s="101">
        <f t="shared" si="12"/>
        <v>0</v>
      </c>
      <c r="P65" s="46"/>
      <c r="Q65" s="122">
        <v>0</v>
      </c>
      <c r="R65" s="101">
        <f t="shared" si="13"/>
        <v>0</v>
      </c>
      <c r="S65" s="138"/>
      <c r="T65" s="122">
        <v>0</v>
      </c>
    </row>
    <row r="66" spans="1:20" ht="15.75">
      <c r="A66" s="59">
        <v>24</v>
      </c>
      <c r="B66" s="70" t="s">
        <v>376</v>
      </c>
      <c r="C66" s="101">
        <f t="shared" si="8"/>
        <v>69</v>
      </c>
      <c r="D66" s="45"/>
      <c r="E66" s="139">
        <v>69</v>
      </c>
      <c r="F66" s="101">
        <f t="shared" si="9"/>
        <v>69</v>
      </c>
      <c r="G66" s="46"/>
      <c r="H66" s="139">
        <v>69</v>
      </c>
      <c r="I66" s="101">
        <f t="shared" si="10"/>
        <v>0</v>
      </c>
      <c r="J66" s="46"/>
      <c r="K66" s="131"/>
      <c r="L66" s="101">
        <f t="shared" si="11"/>
        <v>69</v>
      </c>
      <c r="M66" s="44"/>
      <c r="N66" s="122">
        <v>69</v>
      </c>
      <c r="O66" s="101">
        <f t="shared" si="12"/>
        <v>69</v>
      </c>
      <c r="P66" s="46"/>
      <c r="Q66" s="122">
        <v>69</v>
      </c>
      <c r="R66" s="101">
        <f t="shared" si="13"/>
        <v>69</v>
      </c>
      <c r="S66" s="138"/>
      <c r="T66" s="140">
        <v>69</v>
      </c>
    </row>
    <row r="67" spans="1:20" ht="15.75">
      <c r="A67" s="59">
        <v>25</v>
      </c>
      <c r="B67" s="70" t="s">
        <v>377</v>
      </c>
      <c r="C67" s="101">
        <f t="shared" si="8"/>
        <v>0</v>
      </c>
      <c r="D67" s="45"/>
      <c r="E67" s="131">
        <v>0</v>
      </c>
      <c r="F67" s="101">
        <f t="shared" si="9"/>
        <v>0</v>
      </c>
      <c r="G67" s="46"/>
      <c r="H67" s="131">
        <v>0</v>
      </c>
      <c r="I67" s="101">
        <f t="shared" si="10"/>
        <v>0</v>
      </c>
      <c r="J67" s="46"/>
      <c r="K67" s="131">
        <v>0</v>
      </c>
      <c r="L67" s="101">
        <f t="shared" si="11"/>
        <v>0</v>
      </c>
      <c r="M67" s="44"/>
      <c r="N67" s="122">
        <v>0</v>
      </c>
      <c r="O67" s="101">
        <f t="shared" si="12"/>
        <v>0</v>
      </c>
      <c r="P67" s="46"/>
      <c r="Q67" s="122">
        <v>0</v>
      </c>
      <c r="R67" s="101">
        <f t="shared" si="13"/>
        <v>0</v>
      </c>
      <c r="S67" s="138"/>
      <c r="T67" s="122">
        <v>0</v>
      </c>
    </row>
    <row r="68" spans="1:20" ht="15.75">
      <c r="A68" s="59">
        <v>26</v>
      </c>
      <c r="B68" s="70" t="s">
        <v>378</v>
      </c>
      <c r="C68" s="101">
        <f t="shared" si="8"/>
        <v>1</v>
      </c>
      <c r="D68" s="45"/>
      <c r="E68" s="131">
        <v>1</v>
      </c>
      <c r="F68" s="101">
        <f t="shared" si="9"/>
        <v>1</v>
      </c>
      <c r="G68" s="46"/>
      <c r="H68" s="131">
        <v>1</v>
      </c>
      <c r="I68" s="101">
        <f t="shared" si="10"/>
        <v>0</v>
      </c>
      <c r="J68" s="46"/>
      <c r="K68" s="131">
        <v>0</v>
      </c>
      <c r="L68" s="101">
        <f t="shared" si="11"/>
        <v>1</v>
      </c>
      <c r="M68" s="54"/>
      <c r="N68" s="131">
        <v>1</v>
      </c>
      <c r="O68" s="101">
        <f t="shared" si="12"/>
        <v>1</v>
      </c>
      <c r="P68" s="45"/>
      <c r="Q68" s="131">
        <v>1</v>
      </c>
      <c r="R68" s="101">
        <f t="shared" si="13"/>
        <v>1</v>
      </c>
      <c r="S68" s="138"/>
      <c r="T68" s="141">
        <v>1</v>
      </c>
    </row>
    <row r="69" spans="1:20" ht="15.75">
      <c r="A69" s="59">
        <v>27</v>
      </c>
      <c r="B69" s="70" t="s">
        <v>379</v>
      </c>
      <c r="C69" s="101">
        <f t="shared" si="8"/>
        <v>0</v>
      </c>
      <c r="D69" s="45"/>
      <c r="E69" s="131">
        <v>0</v>
      </c>
      <c r="F69" s="101">
        <f t="shared" si="9"/>
        <v>0</v>
      </c>
      <c r="G69" s="46"/>
      <c r="H69" s="131">
        <v>0</v>
      </c>
      <c r="I69" s="101">
        <f t="shared" si="10"/>
        <v>0</v>
      </c>
      <c r="J69" s="46"/>
      <c r="K69" s="131">
        <v>0</v>
      </c>
      <c r="L69" s="101">
        <f t="shared" si="11"/>
        <v>0</v>
      </c>
      <c r="M69" s="44"/>
      <c r="N69" s="122">
        <v>0</v>
      </c>
      <c r="O69" s="101">
        <f t="shared" si="12"/>
        <v>0</v>
      </c>
      <c r="P69" s="46"/>
      <c r="Q69" s="122">
        <v>0</v>
      </c>
      <c r="R69" s="101">
        <f t="shared" si="13"/>
        <v>0</v>
      </c>
      <c r="S69" s="138"/>
      <c r="T69" s="122">
        <v>0</v>
      </c>
    </row>
    <row r="70" spans="1:20" ht="15.75">
      <c r="A70" s="59">
        <v>28</v>
      </c>
      <c r="B70" s="70" t="s">
        <v>380</v>
      </c>
      <c r="C70" s="101">
        <f t="shared" si="8"/>
        <v>11</v>
      </c>
      <c r="D70" s="45"/>
      <c r="E70" s="127">
        <v>11</v>
      </c>
      <c r="F70" s="101">
        <f t="shared" si="9"/>
        <v>11</v>
      </c>
      <c r="G70" s="46"/>
      <c r="H70" s="127">
        <v>11</v>
      </c>
      <c r="I70" s="101">
        <f t="shared" si="10"/>
        <v>2</v>
      </c>
      <c r="J70" s="46"/>
      <c r="K70" s="127">
        <v>2</v>
      </c>
      <c r="L70" s="101">
        <f t="shared" si="11"/>
        <v>11</v>
      </c>
      <c r="M70" s="44"/>
      <c r="N70" s="122">
        <v>11</v>
      </c>
      <c r="O70" s="101">
        <f t="shared" si="12"/>
        <v>0</v>
      </c>
      <c r="P70" s="46"/>
      <c r="Q70" s="122">
        <v>0</v>
      </c>
      <c r="R70" s="101">
        <f t="shared" si="13"/>
        <v>11</v>
      </c>
      <c r="S70" s="138"/>
      <c r="T70" s="122">
        <v>11</v>
      </c>
    </row>
    <row r="71" spans="1:20" ht="15.75">
      <c r="A71" s="59">
        <v>29</v>
      </c>
      <c r="B71" s="70" t="s">
        <v>381</v>
      </c>
      <c r="C71" s="101">
        <f t="shared" si="8"/>
        <v>0</v>
      </c>
      <c r="D71" s="45"/>
      <c r="E71" s="131">
        <v>0</v>
      </c>
      <c r="F71" s="101">
        <f t="shared" si="9"/>
        <v>0</v>
      </c>
      <c r="G71" s="46"/>
      <c r="H71" s="131">
        <v>0</v>
      </c>
      <c r="I71" s="101">
        <f t="shared" si="10"/>
        <v>0</v>
      </c>
      <c r="J71" s="46"/>
      <c r="K71" s="131">
        <v>0</v>
      </c>
      <c r="L71" s="101">
        <f t="shared" si="11"/>
        <v>0</v>
      </c>
      <c r="M71" s="44"/>
      <c r="N71" s="122">
        <v>0</v>
      </c>
      <c r="O71" s="101">
        <f t="shared" si="12"/>
        <v>0</v>
      </c>
      <c r="P71" s="46"/>
      <c r="Q71" s="122">
        <v>0</v>
      </c>
      <c r="R71" s="101">
        <f t="shared" si="13"/>
        <v>0</v>
      </c>
      <c r="S71" s="138"/>
      <c r="T71" s="122">
        <v>0</v>
      </c>
    </row>
    <row r="72" spans="1:20" ht="15.75">
      <c r="A72" s="59">
        <v>30</v>
      </c>
      <c r="B72" s="70" t="s">
        <v>382</v>
      </c>
      <c r="C72" s="101">
        <f t="shared" si="8"/>
        <v>0</v>
      </c>
      <c r="D72" s="45"/>
      <c r="E72" s="131">
        <v>0</v>
      </c>
      <c r="F72" s="101">
        <f t="shared" si="9"/>
        <v>0</v>
      </c>
      <c r="G72" s="46"/>
      <c r="H72" s="131">
        <v>0</v>
      </c>
      <c r="I72" s="101">
        <f t="shared" si="10"/>
        <v>0</v>
      </c>
      <c r="J72" s="46"/>
      <c r="K72" s="131">
        <v>0</v>
      </c>
      <c r="L72" s="101">
        <f t="shared" si="11"/>
        <v>0</v>
      </c>
      <c r="M72" s="44"/>
      <c r="N72" s="122">
        <v>0</v>
      </c>
      <c r="O72" s="101">
        <f t="shared" si="12"/>
        <v>0</v>
      </c>
      <c r="P72" s="46"/>
      <c r="Q72" s="122">
        <v>0</v>
      </c>
      <c r="R72" s="101">
        <f t="shared" si="13"/>
        <v>0</v>
      </c>
      <c r="S72" s="138"/>
      <c r="T72" s="122">
        <v>0</v>
      </c>
    </row>
    <row r="73" spans="1:20" ht="15.75">
      <c r="A73" s="59">
        <v>31</v>
      </c>
      <c r="B73" s="70" t="s">
        <v>383</v>
      </c>
      <c r="C73" s="101">
        <f t="shared" si="8"/>
        <v>21</v>
      </c>
      <c r="D73" s="45"/>
      <c r="E73" s="131">
        <v>21</v>
      </c>
      <c r="F73" s="101">
        <f t="shared" si="9"/>
        <v>21</v>
      </c>
      <c r="G73" s="46"/>
      <c r="H73" s="131">
        <v>21</v>
      </c>
      <c r="I73" s="101">
        <f t="shared" si="10"/>
        <v>0</v>
      </c>
      <c r="J73" s="46"/>
      <c r="K73" s="131">
        <v>0</v>
      </c>
      <c r="L73" s="101">
        <f t="shared" si="11"/>
        <v>21</v>
      </c>
      <c r="M73" s="44"/>
      <c r="N73" s="122">
        <v>21</v>
      </c>
      <c r="O73" s="101">
        <f t="shared" si="12"/>
        <v>21</v>
      </c>
      <c r="P73" s="46"/>
      <c r="Q73" s="122">
        <v>21</v>
      </c>
      <c r="R73" s="101">
        <f t="shared" si="13"/>
        <v>21</v>
      </c>
      <c r="S73" s="138"/>
      <c r="T73" s="122">
        <v>21</v>
      </c>
    </row>
    <row r="74" spans="1:20" ht="15.75">
      <c r="A74" s="59">
        <v>32</v>
      </c>
      <c r="B74" s="70" t="s">
        <v>384</v>
      </c>
      <c r="C74" s="101">
        <f t="shared" si="8"/>
        <v>1</v>
      </c>
      <c r="D74" s="45"/>
      <c r="E74" s="131">
        <v>1</v>
      </c>
      <c r="F74" s="101">
        <f t="shared" si="9"/>
        <v>0</v>
      </c>
      <c r="G74" s="46"/>
      <c r="H74" s="131">
        <v>0</v>
      </c>
      <c r="I74" s="101">
        <f t="shared" si="10"/>
        <v>0</v>
      </c>
      <c r="J74" s="46"/>
      <c r="K74" s="131">
        <v>0</v>
      </c>
      <c r="L74" s="101">
        <f t="shared" si="11"/>
        <v>1</v>
      </c>
      <c r="M74" s="44"/>
      <c r="N74" s="122">
        <v>1</v>
      </c>
      <c r="O74" s="101">
        <f t="shared" si="12"/>
        <v>0</v>
      </c>
      <c r="P74" s="46"/>
      <c r="Q74" s="122">
        <v>0</v>
      </c>
      <c r="R74" s="101">
        <f t="shared" si="13"/>
        <v>1</v>
      </c>
      <c r="S74" s="138"/>
      <c r="T74" s="122">
        <v>1</v>
      </c>
    </row>
    <row r="75" spans="1:20" ht="15.75">
      <c r="A75" s="59">
        <v>33</v>
      </c>
      <c r="B75" s="70" t="s">
        <v>385</v>
      </c>
      <c r="C75" s="101">
        <f t="shared" si="8"/>
        <v>2</v>
      </c>
      <c r="D75" s="45"/>
      <c r="E75" s="139">
        <v>2</v>
      </c>
      <c r="F75" s="101">
        <f t="shared" si="9"/>
        <v>2</v>
      </c>
      <c r="G75" s="46"/>
      <c r="H75" s="139">
        <v>2</v>
      </c>
      <c r="I75" s="101">
        <f t="shared" si="10"/>
        <v>2</v>
      </c>
      <c r="J75" s="46"/>
      <c r="K75" s="131">
        <v>2</v>
      </c>
      <c r="L75" s="101">
        <f t="shared" si="11"/>
        <v>2</v>
      </c>
      <c r="M75" s="44"/>
      <c r="N75" s="124">
        <v>2</v>
      </c>
      <c r="O75" s="101">
        <f t="shared" si="12"/>
        <v>1</v>
      </c>
      <c r="P75" s="46"/>
      <c r="Q75" s="124">
        <v>1</v>
      </c>
      <c r="R75" s="101">
        <f t="shared" si="13"/>
        <v>1</v>
      </c>
      <c r="S75" s="138"/>
      <c r="T75" s="124">
        <v>1</v>
      </c>
    </row>
    <row r="76" spans="1:20" ht="15.75">
      <c r="A76" s="59">
        <v>34</v>
      </c>
      <c r="B76" s="70" t="s">
        <v>386</v>
      </c>
      <c r="C76" s="101">
        <f t="shared" si="8"/>
        <v>0</v>
      </c>
      <c r="D76" s="45"/>
      <c r="E76" s="131">
        <v>0</v>
      </c>
      <c r="F76" s="101">
        <f t="shared" si="9"/>
        <v>0</v>
      </c>
      <c r="G76" s="46"/>
      <c r="H76" s="131">
        <v>0</v>
      </c>
      <c r="I76" s="101">
        <f t="shared" si="10"/>
        <v>0</v>
      </c>
      <c r="J76" s="46"/>
      <c r="K76" s="131">
        <v>0</v>
      </c>
      <c r="L76" s="101">
        <f t="shared" si="11"/>
        <v>0</v>
      </c>
      <c r="M76" s="44"/>
      <c r="N76" s="122">
        <v>0</v>
      </c>
      <c r="O76" s="101">
        <f t="shared" si="12"/>
        <v>0</v>
      </c>
      <c r="P76" s="46"/>
      <c r="Q76" s="122">
        <v>0</v>
      </c>
      <c r="R76" s="101">
        <f t="shared" si="13"/>
        <v>0</v>
      </c>
      <c r="S76" s="138"/>
      <c r="T76" s="122">
        <v>0</v>
      </c>
    </row>
    <row r="77" spans="1:20" ht="15.75">
      <c r="A77" s="59">
        <v>35</v>
      </c>
      <c r="B77" s="70" t="s">
        <v>387</v>
      </c>
      <c r="C77" s="101">
        <f t="shared" si="8"/>
        <v>3</v>
      </c>
      <c r="D77" s="45"/>
      <c r="E77" s="131">
        <v>3</v>
      </c>
      <c r="F77" s="101">
        <f t="shared" si="9"/>
        <v>3</v>
      </c>
      <c r="G77" s="46"/>
      <c r="H77" s="131">
        <v>3</v>
      </c>
      <c r="I77" s="101">
        <f t="shared" si="10"/>
        <v>0</v>
      </c>
      <c r="J77" s="46"/>
      <c r="K77" s="131"/>
      <c r="L77" s="101">
        <f t="shared" si="11"/>
        <v>0</v>
      </c>
      <c r="M77" s="44"/>
      <c r="N77" s="122">
        <v>0</v>
      </c>
      <c r="O77" s="101">
        <f t="shared" si="12"/>
        <v>0</v>
      </c>
      <c r="P77" s="46"/>
      <c r="Q77" s="122">
        <v>0</v>
      </c>
      <c r="R77" s="101">
        <f t="shared" si="13"/>
        <v>0</v>
      </c>
      <c r="S77" s="138"/>
      <c r="T77" s="140">
        <v>0</v>
      </c>
    </row>
    <row r="78" spans="1:20" ht="15.75">
      <c r="A78" s="59">
        <v>36</v>
      </c>
      <c r="B78" s="77" t="s">
        <v>388</v>
      </c>
      <c r="C78" s="101">
        <f t="shared" si="8"/>
        <v>1</v>
      </c>
      <c r="D78" s="47"/>
      <c r="E78" s="131">
        <v>1</v>
      </c>
      <c r="F78" s="101">
        <f t="shared" si="9"/>
        <v>0</v>
      </c>
      <c r="G78" s="28"/>
      <c r="H78" s="131">
        <v>0</v>
      </c>
      <c r="I78" s="101">
        <f t="shared" si="10"/>
        <v>0</v>
      </c>
      <c r="J78" s="28"/>
      <c r="K78" s="131">
        <v>0</v>
      </c>
      <c r="L78" s="101">
        <f t="shared" si="11"/>
        <v>1</v>
      </c>
      <c r="M78" s="44"/>
      <c r="N78" s="131">
        <v>1</v>
      </c>
      <c r="O78" s="101">
        <f t="shared" si="12"/>
        <v>1</v>
      </c>
      <c r="P78" s="28"/>
      <c r="Q78" s="131">
        <v>1</v>
      </c>
      <c r="R78" s="101">
        <f t="shared" si="13"/>
        <v>0</v>
      </c>
      <c r="S78" s="138"/>
      <c r="T78" s="131">
        <v>0</v>
      </c>
    </row>
    <row r="79" spans="1:20" ht="15.75">
      <c r="A79" s="59">
        <v>37</v>
      </c>
      <c r="B79" s="77" t="s">
        <v>389</v>
      </c>
      <c r="C79" s="101">
        <f t="shared" si="8"/>
        <v>0</v>
      </c>
      <c r="D79" s="47"/>
      <c r="E79" s="131">
        <v>0</v>
      </c>
      <c r="F79" s="101">
        <f t="shared" si="9"/>
        <v>0</v>
      </c>
      <c r="G79" s="28"/>
      <c r="H79" s="131">
        <v>0</v>
      </c>
      <c r="I79" s="101">
        <f t="shared" si="10"/>
        <v>0</v>
      </c>
      <c r="J79" s="28"/>
      <c r="K79" s="131">
        <v>0</v>
      </c>
      <c r="L79" s="101">
        <f t="shared" si="11"/>
        <v>0</v>
      </c>
      <c r="M79" s="44"/>
      <c r="N79" s="122">
        <v>0</v>
      </c>
      <c r="O79" s="101">
        <f t="shared" si="12"/>
        <v>0</v>
      </c>
      <c r="P79" s="28"/>
      <c r="Q79" s="122">
        <v>0</v>
      </c>
      <c r="R79" s="101">
        <f t="shared" si="13"/>
        <v>0</v>
      </c>
      <c r="S79" s="138"/>
      <c r="T79" s="122">
        <v>0</v>
      </c>
    </row>
    <row r="80" spans="1:20" ht="15.75">
      <c r="A80" s="59">
        <v>38</v>
      </c>
      <c r="B80" s="77" t="s">
        <v>390</v>
      </c>
      <c r="C80" s="101">
        <f t="shared" si="8"/>
        <v>172</v>
      </c>
      <c r="D80" s="47"/>
      <c r="E80" s="131">
        <v>172</v>
      </c>
      <c r="F80" s="101">
        <f t="shared" si="9"/>
        <v>172</v>
      </c>
      <c r="G80" s="28"/>
      <c r="H80" s="131">
        <v>172</v>
      </c>
      <c r="I80" s="101">
        <f t="shared" si="10"/>
        <v>0</v>
      </c>
      <c r="J80" s="28"/>
      <c r="K80" s="131">
        <v>0</v>
      </c>
      <c r="L80" s="101">
        <f t="shared" si="11"/>
        <v>172</v>
      </c>
      <c r="M80" s="44"/>
      <c r="N80" s="122">
        <v>172</v>
      </c>
      <c r="O80" s="101">
        <f t="shared" si="12"/>
        <v>146</v>
      </c>
      <c r="P80" s="28"/>
      <c r="Q80" s="122">
        <v>146</v>
      </c>
      <c r="R80" s="101">
        <f t="shared" si="13"/>
        <v>172</v>
      </c>
      <c r="S80" s="138"/>
      <c r="T80" s="122">
        <v>172</v>
      </c>
    </row>
    <row r="81" spans="1:20" ht="15.75">
      <c r="A81" s="59">
        <v>39</v>
      </c>
      <c r="B81" s="77" t="s">
        <v>391</v>
      </c>
      <c r="C81" s="101">
        <f t="shared" si="8"/>
        <v>11</v>
      </c>
      <c r="D81" s="47"/>
      <c r="E81" s="131">
        <v>11</v>
      </c>
      <c r="F81" s="101">
        <f t="shared" si="9"/>
        <v>11</v>
      </c>
      <c r="G81" s="28"/>
      <c r="H81" s="131">
        <v>11</v>
      </c>
      <c r="I81" s="101">
        <f t="shared" si="10"/>
        <v>0</v>
      </c>
      <c r="J81" s="28"/>
      <c r="K81" s="131">
        <v>0</v>
      </c>
      <c r="L81" s="101">
        <f t="shared" si="11"/>
        <v>11</v>
      </c>
      <c r="M81" s="44"/>
      <c r="N81" s="122">
        <v>11</v>
      </c>
      <c r="O81" s="101">
        <f t="shared" si="12"/>
        <v>11</v>
      </c>
      <c r="P81" s="28"/>
      <c r="Q81" s="122">
        <v>11</v>
      </c>
      <c r="R81" s="101">
        <f t="shared" si="13"/>
        <v>11</v>
      </c>
      <c r="S81" s="138"/>
      <c r="T81" s="122">
        <v>11</v>
      </c>
    </row>
    <row r="82" spans="1:21" ht="15.75">
      <c r="A82" s="59">
        <v>40</v>
      </c>
      <c r="B82" s="77" t="s">
        <v>392</v>
      </c>
      <c r="C82" s="151">
        <f t="shared" si="8"/>
        <v>0</v>
      </c>
      <c r="D82" s="47"/>
      <c r="E82" s="131">
        <v>0</v>
      </c>
      <c r="F82" s="101">
        <f t="shared" si="9"/>
        <v>0</v>
      </c>
      <c r="G82" s="28"/>
      <c r="H82" s="131">
        <v>0</v>
      </c>
      <c r="I82" s="101">
        <f t="shared" si="10"/>
        <v>0</v>
      </c>
      <c r="J82" s="28"/>
      <c r="K82" s="131">
        <v>0</v>
      </c>
      <c r="L82" s="151">
        <f t="shared" si="11"/>
        <v>8</v>
      </c>
      <c r="M82" s="44"/>
      <c r="N82" s="122">
        <v>8</v>
      </c>
      <c r="O82" s="101">
        <f t="shared" si="12"/>
        <v>0</v>
      </c>
      <c r="P82" s="28"/>
      <c r="Q82" s="122">
        <v>0</v>
      </c>
      <c r="R82" s="101">
        <f t="shared" si="13"/>
        <v>8</v>
      </c>
      <c r="S82" s="138"/>
      <c r="T82" s="122">
        <v>8</v>
      </c>
      <c r="U82" s="61" t="s">
        <v>504</v>
      </c>
    </row>
    <row r="83" spans="1:21" ht="15.75">
      <c r="A83" s="59">
        <v>41</v>
      </c>
      <c r="B83" s="77" t="s">
        <v>393</v>
      </c>
      <c r="C83" s="151">
        <f t="shared" si="8"/>
        <v>0</v>
      </c>
      <c r="D83" s="47"/>
      <c r="E83" s="131">
        <v>0</v>
      </c>
      <c r="F83" s="101">
        <f t="shared" si="9"/>
        <v>0</v>
      </c>
      <c r="G83" s="28"/>
      <c r="H83" s="131">
        <v>0</v>
      </c>
      <c r="I83" s="101">
        <f t="shared" si="10"/>
        <v>0</v>
      </c>
      <c r="J83" s="28"/>
      <c r="K83" s="131">
        <v>0</v>
      </c>
      <c r="L83" s="151">
        <f t="shared" si="11"/>
        <v>8</v>
      </c>
      <c r="M83" s="44"/>
      <c r="N83" s="122">
        <v>8</v>
      </c>
      <c r="O83" s="101">
        <f t="shared" si="12"/>
        <v>0</v>
      </c>
      <c r="P83" s="28"/>
      <c r="Q83" s="122">
        <v>0</v>
      </c>
      <c r="R83" s="101">
        <f t="shared" si="13"/>
        <v>8</v>
      </c>
      <c r="S83" s="138"/>
      <c r="T83" s="122">
        <v>8</v>
      </c>
      <c r="U83" s="61" t="s">
        <v>504</v>
      </c>
    </row>
    <row r="84" spans="1:20" ht="15.75">
      <c r="A84" s="59">
        <v>42</v>
      </c>
      <c r="B84" s="77" t="s">
        <v>394</v>
      </c>
      <c r="C84" s="101">
        <f t="shared" si="8"/>
        <v>0</v>
      </c>
      <c r="D84" s="47"/>
      <c r="E84" s="131">
        <v>0</v>
      </c>
      <c r="F84" s="101">
        <f t="shared" si="9"/>
        <v>0</v>
      </c>
      <c r="G84" s="28"/>
      <c r="H84" s="131">
        <v>0</v>
      </c>
      <c r="I84" s="101">
        <f t="shared" si="10"/>
        <v>0</v>
      </c>
      <c r="J84" s="28"/>
      <c r="K84" s="131">
        <v>0</v>
      </c>
      <c r="L84" s="101">
        <f t="shared" si="11"/>
        <v>0</v>
      </c>
      <c r="M84" s="44"/>
      <c r="N84" s="122">
        <v>0</v>
      </c>
      <c r="O84" s="101">
        <f t="shared" si="12"/>
        <v>0</v>
      </c>
      <c r="P84" s="28"/>
      <c r="Q84" s="122">
        <v>0</v>
      </c>
      <c r="R84" s="101">
        <f t="shared" si="13"/>
        <v>0</v>
      </c>
      <c r="S84" s="138"/>
      <c r="T84" s="122">
        <v>0</v>
      </c>
    </row>
    <row r="85" spans="1:21" ht="15.75">
      <c r="A85" s="59">
        <v>43</v>
      </c>
      <c r="B85" s="77" t="s">
        <v>395</v>
      </c>
      <c r="C85" s="151">
        <f t="shared" si="8"/>
        <v>0</v>
      </c>
      <c r="D85" s="47"/>
      <c r="E85" s="131">
        <v>0</v>
      </c>
      <c r="F85" s="101">
        <f t="shared" si="9"/>
        <v>0</v>
      </c>
      <c r="G85" s="28"/>
      <c r="H85" s="131">
        <v>0</v>
      </c>
      <c r="I85" s="101">
        <f t="shared" si="10"/>
        <v>0</v>
      </c>
      <c r="J85" s="28"/>
      <c r="K85" s="131">
        <v>0</v>
      </c>
      <c r="L85" s="151">
        <f t="shared" si="11"/>
        <v>2</v>
      </c>
      <c r="M85" s="44"/>
      <c r="N85" s="122">
        <v>2</v>
      </c>
      <c r="O85" s="101">
        <f t="shared" si="12"/>
        <v>0</v>
      </c>
      <c r="P85" s="28"/>
      <c r="Q85" s="122">
        <v>0</v>
      </c>
      <c r="R85" s="101">
        <f t="shared" si="13"/>
        <v>1</v>
      </c>
      <c r="S85" s="138"/>
      <c r="T85" s="122">
        <v>1</v>
      </c>
      <c r="U85" s="61" t="s">
        <v>504</v>
      </c>
    </row>
    <row r="86" spans="1:20" ht="15.75">
      <c r="A86" s="59">
        <v>44</v>
      </c>
      <c r="B86" s="77" t="s">
        <v>396</v>
      </c>
      <c r="C86" s="101">
        <f t="shared" si="8"/>
        <v>3</v>
      </c>
      <c r="D86" s="47"/>
      <c r="E86" s="131">
        <v>3</v>
      </c>
      <c r="F86" s="101">
        <f t="shared" si="9"/>
        <v>3</v>
      </c>
      <c r="G86" s="28"/>
      <c r="H86" s="131">
        <v>3</v>
      </c>
      <c r="I86" s="101">
        <f t="shared" si="10"/>
        <v>0</v>
      </c>
      <c r="J86" s="28"/>
      <c r="K86" s="131">
        <v>0</v>
      </c>
      <c r="L86" s="101">
        <f t="shared" si="11"/>
        <v>3</v>
      </c>
      <c r="M86" s="44"/>
      <c r="N86" s="122">
        <v>3</v>
      </c>
      <c r="O86" s="101">
        <f t="shared" si="12"/>
        <v>0</v>
      </c>
      <c r="P86" s="28"/>
      <c r="Q86" s="122">
        <v>0</v>
      </c>
      <c r="R86" s="101">
        <f t="shared" si="13"/>
        <v>3</v>
      </c>
      <c r="S86" s="138"/>
      <c r="T86" s="122">
        <v>3</v>
      </c>
    </row>
    <row r="87" spans="1:20" s="48" customFormat="1" ht="15.75">
      <c r="A87" s="59">
        <v>45</v>
      </c>
      <c r="B87" s="79" t="s">
        <v>397</v>
      </c>
      <c r="C87" s="101">
        <f t="shared" si="8"/>
        <v>5</v>
      </c>
      <c r="D87" s="45"/>
      <c r="E87" s="131">
        <v>5</v>
      </c>
      <c r="F87" s="101">
        <f t="shared" si="9"/>
        <v>5</v>
      </c>
      <c r="G87" s="46"/>
      <c r="H87" s="131">
        <v>5</v>
      </c>
      <c r="I87" s="101">
        <f t="shared" si="10"/>
        <v>3</v>
      </c>
      <c r="J87" s="46"/>
      <c r="K87" s="131">
        <v>3</v>
      </c>
      <c r="L87" s="101">
        <f t="shared" si="11"/>
        <v>5</v>
      </c>
      <c r="M87" s="44"/>
      <c r="N87" s="122">
        <v>5</v>
      </c>
      <c r="O87" s="101">
        <f t="shared" si="12"/>
        <v>5</v>
      </c>
      <c r="P87" s="46"/>
      <c r="Q87" s="122">
        <v>5</v>
      </c>
      <c r="R87" s="101">
        <f t="shared" si="13"/>
        <v>5</v>
      </c>
      <c r="S87" s="55"/>
      <c r="T87" s="122">
        <v>5</v>
      </c>
    </row>
    <row r="88" spans="1:20" s="48" customFormat="1" ht="15.75">
      <c r="A88" s="59">
        <v>46</v>
      </c>
      <c r="B88" s="79" t="s">
        <v>398</v>
      </c>
      <c r="C88" s="101">
        <f t="shared" si="8"/>
        <v>12</v>
      </c>
      <c r="D88" s="45"/>
      <c r="E88" s="131">
        <v>12</v>
      </c>
      <c r="F88" s="101">
        <f t="shared" si="9"/>
        <v>12</v>
      </c>
      <c r="G88" s="46"/>
      <c r="H88" s="131">
        <v>12</v>
      </c>
      <c r="I88" s="101">
        <f t="shared" si="10"/>
        <v>7</v>
      </c>
      <c r="J88" s="46"/>
      <c r="K88" s="131">
        <v>7</v>
      </c>
      <c r="L88" s="101">
        <f t="shared" si="11"/>
        <v>12</v>
      </c>
      <c r="M88" s="44"/>
      <c r="N88" s="122">
        <v>12</v>
      </c>
      <c r="O88" s="101">
        <f t="shared" si="12"/>
        <v>0</v>
      </c>
      <c r="P88" s="46"/>
      <c r="Q88" s="122">
        <v>0</v>
      </c>
      <c r="R88" s="101">
        <f t="shared" si="13"/>
        <v>12</v>
      </c>
      <c r="S88" s="55"/>
      <c r="T88" s="122">
        <v>12</v>
      </c>
    </row>
    <row r="89" spans="1:20" s="48" customFormat="1" ht="15.75">
      <c r="A89" s="59">
        <v>47</v>
      </c>
      <c r="B89" s="79" t="s">
        <v>399</v>
      </c>
      <c r="C89" s="101">
        <f t="shared" si="8"/>
        <v>0</v>
      </c>
      <c r="D89" s="45"/>
      <c r="E89" s="131">
        <v>0</v>
      </c>
      <c r="F89" s="101">
        <f t="shared" si="9"/>
        <v>0</v>
      </c>
      <c r="G89" s="46"/>
      <c r="H89" s="131">
        <v>0</v>
      </c>
      <c r="I89" s="101">
        <f t="shared" si="10"/>
        <v>0</v>
      </c>
      <c r="J89" s="46"/>
      <c r="K89" s="131">
        <v>0</v>
      </c>
      <c r="L89" s="101">
        <f t="shared" si="11"/>
        <v>0</v>
      </c>
      <c r="M89" s="44"/>
      <c r="N89" s="122">
        <v>0</v>
      </c>
      <c r="O89" s="101">
        <f t="shared" si="12"/>
        <v>0</v>
      </c>
      <c r="P89" s="46"/>
      <c r="Q89" s="122">
        <v>0</v>
      </c>
      <c r="R89" s="101">
        <f t="shared" si="13"/>
        <v>0</v>
      </c>
      <c r="S89" s="55"/>
      <c r="T89" s="122">
        <v>0</v>
      </c>
    </row>
    <row r="90" spans="1:20" s="48" customFormat="1" ht="15.75">
      <c r="A90" s="59">
        <v>48</v>
      </c>
      <c r="B90" s="79" t="s">
        <v>400</v>
      </c>
      <c r="C90" s="101">
        <f t="shared" si="8"/>
        <v>0</v>
      </c>
      <c r="D90" s="45"/>
      <c r="E90" s="131">
        <v>0</v>
      </c>
      <c r="F90" s="101">
        <f t="shared" si="9"/>
        <v>0</v>
      </c>
      <c r="G90" s="46"/>
      <c r="H90" s="131">
        <v>0</v>
      </c>
      <c r="I90" s="101">
        <f t="shared" si="10"/>
        <v>0</v>
      </c>
      <c r="J90" s="46"/>
      <c r="K90" s="131">
        <v>0</v>
      </c>
      <c r="L90" s="101">
        <f t="shared" si="11"/>
        <v>0</v>
      </c>
      <c r="M90" s="44"/>
      <c r="N90" s="131">
        <v>0</v>
      </c>
      <c r="O90" s="101">
        <f t="shared" si="12"/>
        <v>0</v>
      </c>
      <c r="P90" s="46"/>
      <c r="Q90" s="131">
        <v>0</v>
      </c>
      <c r="R90" s="101">
        <f t="shared" si="13"/>
        <v>0</v>
      </c>
      <c r="S90" s="55"/>
      <c r="T90" s="131">
        <v>0</v>
      </c>
    </row>
    <row r="91" spans="1:20" s="48" customFormat="1" ht="15.75">
      <c r="A91" s="59">
        <v>49</v>
      </c>
      <c r="B91" s="79" t="s">
        <v>401</v>
      </c>
      <c r="C91" s="101">
        <f t="shared" si="8"/>
        <v>0</v>
      </c>
      <c r="D91" s="45"/>
      <c r="E91" s="131">
        <v>0</v>
      </c>
      <c r="F91" s="101">
        <f t="shared" si="9"/>
        <v>0</v>
      </c>
      <c r="G91" s="46"/>
      <c r="H91" s="131">
        <v>0</v>
      </c>
      <c r="I91" s="101">
        <f t="shared" si="10"/>
        <v>0</v>
      </c>
      <c r="J91" s="46"/>
      <c r="K91" s="131">
        <v>0</v>
      </c>
      <c r="L91" s="101">
        <f t="shared" si="11"/>
        <v>0</v>
      </c>
      <c r="M91" s="44"/>
      <c r="N91" s="122">
        <v>0</v>
      </c>
      <c r="O91" s="101">
        <f t="shared" si="12"/>
        <v>0</v>
      </c>
      <c r="P91" s="46"/>
      <c r="Q91" s="122">
        <v>0</v>
      </c>
      <c r="R91" s="101">
        <f t="shared" si="13"/>
        <v>0</v>
      </c>
      <c r="S91" s="55"/>
      <c r="T91" s="122">
        <v>0</v>
      </c>
    </row>
    <row r="92" spans="1:20" s="48" customFormat="1" ht="15.75">
      <c r="A92" s="59">
        <v>50</v>
      </c>
      <c r="B92" s="79" t="s">
        <v>402</v>
      </c>
      <c r="C92" s="101">
        <f t="shared" si="8"/>
        <v>0</v>
      </c>
      <c r="D92" s="45"/>
      <c r="E92" s="131">
        <v>0</v>
      </c>
      <c r="F92" s="101">
        <f t="shared" si="9"/>
        <v>0</v>
      </c>
      <c r="G92" s="46"/>
      <c r="H92" s="131">
        <v>0</v>
      </c>
      <c r="I92" s="101">
        <f t="shared" si="10"/>
        <v>0</v>
      </c>
      <c r="J92" s="46"/>
      <c r="K92" s="131">
        <v>0</v>
      </c>
      <c r="L92" s="101">
        <f t="shared" si="11"/>
        <v>0</v>
      </c>
      <c r="M92" s="44"/>
      <c r="N92" s="122">
        <v>0</v>
      </c>
      <c r="O92" s="101">
        <f t="shared" si="12"/>
        <v>0</v>
      </c>
      <c r="P92" s="46"/>
      <c r="Q92" s="122">
        <v>0</v>
      </c>
      <c r="R92" s="101">
        <f t="shared" si="13"/>
        <v>0</v>
      </c>
      <c r="S92" s="55"/>
      <c r="T92" s="122">
        <v>0</v>
      </c>
    </row>
    <row r="93" spans="1:20" s="48" customFormat="1" ht="15.75">
      <c r="A93" s="59">
        <v>51</v>
      </c>
      <c r="B93" s="78" t="s">
        <v>403</v>
      </c>
      <c r="C93" s="101">
        <f t="shared" si="8"/>
        <v>0</v>
      </c>
      <c r="D93" s="45"/>
      <c r="E93" s="131">
        <v>0</v>
      </c>
      <c r="F93" s="101">
        <f t="shared" si="9"/>
        <v>0</v>
      </c>
      <c r="G93" s="46"/>
      <c r="H93" s="131">
        <v>0</v>
      </c>
      <c r="I93" s="101">
        <f t="shared" si="10"/>
        <v>0</v>
      </c>
      <c r="J93" s="46"/>
      <c r="K93" s="131">
        <v>0</v>
      </c>
      <c r="L93" s="101">
        <f t="shared" si="11"/>
        <v>0</v>
      </c>
      <c r="M93" s="44"/>
      <c r="N93" s="122">
        <v>0</v>
      </c>
      <c r="O93" s="101">
        <f t="shared" si="12"/>
        <v>0</v>
      </c>
      <c r="P93" s="46"/>
      <c r="Q93" s="122">
        <v>0</v>
      </c>
      <c r="R93" s="101">
        <f t="shared" si="13"/>
        <v>0</v>
      </c>
      <c r="S93" s="55"/>
      <c r="T93" s="122">
        <v>0</v>
      </c>
    </row>
    <row r="94" spans="1:20" s="48" customFormat="1" ht="15.75">
      <c r="A94" s="59">
        <v>52</v>
      </c>
      <c r="B94" s="78" t="s">
        <v>404</v>
      </c>
      <c r="C94" s="101">
        <f t="shared" si="8"/>
        <v>4</v>
      </c>
      <c r="D94" s="45"/>
      <c r="E94" s="131">
        <v>4</v>
      </c>
      <c r="F94" s="101">
        <f t="shared" si="9"/>
        <v>4</v>
      </c>
      <c r="G94" s="46"/>
      <c r="H94" s="131">
        <v>4</v>
      </c>
      <c r="I94" s="101">
        <f t="shared" si="10"/>
        <v>4</v>
      </c>
      <c r="J94" s="46"/>
      <c r="K94" s="131">
        <v>4</v>
      </c>
      <c r="L94" s="101">
        <f t="shared" si="11"/>
        <v>4</v>
      </c>
      <c r="M94" s="44"/>
      <c r="N94" s="122">
        <v>4</v>
      </c>
      <c r="O94" s="101">
        <f t="shared" si="12"/>
        <v>0</v>
      </c>
      <c r="P94" s="46"/>
      <c r="Q94" s="122">
        <v>0</v>
      </c>
      <c r="R94" s="101">
        <f t="shared" si="13"/>
        <v>4</v>
      </c>
      <c r="S94" s="55"/>
      <c r="T94" s="122">
        <v>4</v>
      </c>
    </row>
    <row r="95" spans="1:20" s="48" customFormat="1" ht="15.75">
      <c r="A95" s="59">
        <v>53</v>
      </c>
      <c r="B95" s="78" t="s">
        <v>405</v>
      </c>
      <c r="C95" s="101">
        <f t="shared" si="8"/>
        <v>2</v>
      </c>
      <c r="D95" s="45"/>
      <c r="E95" s="131">
        <v>2</v>
      </c>
      <c r="F95" s="101">
        <f t="shared" si="9"/>
        <v>2</v>
      </c>
      <c r="G95" s="46"/>
      <c r="H95" s="131">
        <v>2</v>
      </c>
      <c r="I95" s="101">
        <f t="shared" si="10"/>
        <v>0</v>
      </c>
      <c r="J95" s="46"/>
      <c r="K95" s="131">
        <v>0</v>
      </c>
      <c r="L95" s="101">
        <f t="shared" si="11"/>
        <v>2</v>
      </c>
      <c r="M95" s="44"/>
      <c r="N95" s="122">
        <v>2</v>
      </c>
      <c r="O95" s="101">
        <f t="shared" si="12"/>
        <v>2</v>
      </c>
      <c r="P95" s="46"/>
      <c r="Q95" s="122">
        <v>2</v>
      </c>
      <c r="R95" s="101">
        <f t="shared" si="13"/>
        <v>2</v>
      </c>
      <c r="S95" s="55"/>
      <c r="T95" s="122">
        <v>2</v>
      </c>
    </row>
    <row r="96" spans="1:20" s="48" customFormat="1" ht="15.75">
      <c r="A96" s="59">
        <v>54</v>
      </c>
      <c r="B96" s="78" t="s">
        <v>406</v>
      </c>
      <c r="C96" s="101">
        <f t="shared" si="8"/>
        <v>0</v>
      </c>
      <c r="D96" s="45"/>
      <c r="E96" s="131">
        <v>0</v>
      </c>
      <c r="F96" s="101">
        <f t="shared" si="9"/>
        <v>0</v>
      </c>
      <c r="G96" s="46"/>
      <c r="H96" s="131">
        <v>0</v>
      </c>
      <c r="I96" s="101">
        <f t="shared" si="10"/>
        <v>0</v>
      </c>
      <c r="J96" s="46"/>
      <c r="K96" s="131">
        <v>0</v>
      </c>
      <c r="L96" s="101">
        <f t="shared" si="11"/>
        <v>0</v>
      </c>
      <c r="M96" s="44"/>
      <c r="N96" s="131">
        <v>0</v>
      </c>
      <c r="O96" s="101">
        <f t="shared" si="12"/>
        <v>0</v>
      </c>
      <c r="P96" s="46"/>
      <c r="Q96" s="131">
        <v>0</v>
      </c>
      <c r="R96" s="101">
        <f t="shared" si="13"/>
        <v>0</v>
      </c>
      <c r="S96" s="55"/>
      <c r="T96" s="131">
        <v>0</v>
      </c>
    </row>
    <row r="97" spans="1:20" s="48" customFormat="1" ht="15.75">
      <c r="A97" s="59">
        <v>55</v>
      </c>
      <c r="B97" s="78" t="s">
        <v>407</v>
      </c>
      <c r="C97" s="101">
        <f t="shared" si="8"/>
        <v>0</v>
      </c>
      <c r="D97" s="45"/>
      <c r="E97" s="131">
        <v>0</v>
      </c>
      <c r="F97" s="101">
        <f t="shared" si="9"/>
        <v>0</v>
      </c>
      <c r="G97" s="46"/>
      <c r="H97" s="131">
        <v>0</v>
      </c>
      <c r="I97" s="101">
        <f t="shared" si="10"/>
        <v>0</v>
      </c>
      <c r="J97" s="46"/>
      <c r="K97" s="131">
        <v>0</v>
      </c>
      <c r="L97" s="101">
        <f t="shared" si="11"/>
        <v>0</v>
      </c>
      <c r="M97" s="44"/>
      <c r="N97" s="122">
        <v>0</v>
      </c>
      <c r="O97" s="101">
        <f t="shared" si="12"/>
        <v>0</v>
      </c>
      <c r="P97" s="46"/>
      <c r="Q97" s="122">
        <v>0</v>
      </c>
      <c r="R97" s="101">
        <f t="shared" si="13"/>
        <v>0</v>
      </c>
      <c r="S97" s="55"/>
      <c r="T97" s="122">
        <v>0</v>
      </c>
    </row>
    <row r="98" spans="1:20" s="48" customFormat="1" ht="31.5">
      <c r="A98" s="59">
        <v>56</v>
      </c>
      <c r="B98" s="78" t="s">
        <v>408</v>
      </c>
      <c r="C98" s="101">
        <f t="shared" si="8"/>
        <v>11</v>
      </c>
      <c r="D98" s="45"/>
      <c r="E98" s="131">
        <v>11</v>
      </c>
      <c r="F98" s="101">
        <f t="shared" si="9"/>
        <v>11</v>
      </c>
      <c r="G98" s="46"/>
      <c r="H98" s="131">
        <v>11</v>
      </c>
      <c r="I98" s="101">
        <f t="shared" si="10"/>
        <v>0</v>
      </c>
      <c r="J98" s="46"/>
      <c r="K98" s="131">
        <v>0</v>
      </c>
      <c r="L98" s="101">
        <f t="shared" si="11"/>
        <v>11</v>
      </c>
      <c r="M98" s="44"/>
      <c r="N98" s="122">
        <v>11</v>
      </c>
      <c r="O98" s="101">
        <f t="shared" si="12"/>
        <v>11</v>
      </c>
      <c r="P98" s="46"/>
      <c r="Q98" s="122">
        <v>11</v>
      </c>
      <c r="R98" s="101">
        <f t="shared" si="13"/>
        <v>11</v>
      </c>
      <c r="S98" s="55"/>
      <c r="T98" s="122">
        <v>11</v>
      </c>
    </row>
    <row r="99" spans="1:20" s="48" customFormat="1" ht="15.75">
      <c r="A99" s="59">
        <v>57</v>
      </c>
      <c r="B99" s="78" t="s">
        <v>409</v>
      </c>
      <c r="C99" s="101">
        <f t="shared" si="8"/>
        <v>0</v>
      </c>
      <c r="D99" s="45"/>
      <c r="E99" s="131">
        <v>0</v>
      </c>
      <c r="F99" s="101">
        <f t="shared" si="9"/>
        <v>0</v>
      </c>
      <c r="G99" s="46"/>
      <c r="H99" s="131">
        <v>0</v>
      </c>
      <c r="I99" s="101">
        <f t="shared" si="10"/>
        <v>0</v>
      </c>
      <c r="J99" s="46"/>
      <c r="K99" s="131">
        <v>0</v>
      </c>
      <c r="L99" s="101">
        <f t="shared" si="11"/>
        <v>0</v>
      </c>
      <c r="M99" s="44"/>
      <c r="N99" s="122">
        <v>0</v>
      </c>
      <c r="O99" s="101">
        <f t="shared" si="12"/>
        <v>0</v>
      </c>
      <c r="P99" s="46"/>
      <c r="Q99" s="122">
        <v>0</v>
      </c>
      <c r="R99" s="101">
        <f t="shared" si="13"/>
        <v>0</v>
      </c>
      <c r="S99" s="55"/>
      <c r="T99" s="122">
        <v>0</v>
      </c>
    </row>
    <row r="100" spans="1:20" s="49" customFormat="1" ht="31.5">
      <c r="A100" s="59">
        <v>58</v>
      </c>
      <c r="B100" s="78" t="s">
        <v>410</v>
      </c>
      <c r="C100" s="101">
        <f t="shared" si="8"/>
        <v>16</v>
      </c>
      <c r="D100" s="45"/>
      <c r="E100" s="131">
        <v>16</v>
      </c>
      <c r="F100" s="101">
        <f t="shared" si="9"/>
        <v>12</v>
      </c>
      <c r="G100" s="46"/>
      <c r="H100" s="131">
        <v>12</v>
      </c>
      <c r="I100" s="101">
        <f t="shared" si="10"/>
        <v>8</v>
      </c>
      <c r="J100" s="46"/>
      <c r="K100" s="131">
        <v>8</v>
      </c>
      <c r="L100" s="101">
        <f t="shared" si="11"/>
        <v>16</v>
      </c>
      <c r="M100" s="44"/>
      <c r="N100" s="122">
        <v>16</v>
      </c>
      <c r="O100" s="101">
        <f t="shared" si="12"/>
        <v>0</v>
      </c>
      <c r="P100" s="46"/>
      <c r="Q100" s="122"/>
      <c r="R100" s="101">
        <f t="shared" si="13"/>
        <v>16</v>
      </c>
      <c r="S100" s="55"/>
      <c r="T100" s="122">
        <v>16</v>
      </c>
    </row>
    <row r="101" spans="1:20" s="48" customFormat="1" ht="15.75">
      <c r="A101" s="59">
        <v>59</v>
      </c>
      <c r="B101" s="78" t="s">
        <v>411</v>
      </c>
      <c r="C101" s="101">
        <f t="shared" si="8"/>
        <v>11</v>
      </c>
      <c r="D101" s="45"/>
      <c r="E101" s="131">
        <v>11</v>
      </c>
      <c r="F101" s="101">
        <f t="shared" si="9"/>
        <v>11</v>
      </c>
      <c r="G101" s="46"/>
      <c r="H101" s="131">
        <v>11</v>
      </c>
      <c r="I101" s="101">
        <f t="shared" si="10"/>
        <v>6</v>
      </c>
      <c r="J101" s="46"/>
      <c r="K101" s="131">
        <v>6</v>
      </c>
      <c r="L101" s="101">
        <f t="shared" si="11"/>
        <v>11</v>
      </c>
      <c r="M101" s="44"/>
      <c r="N101" s="122">
        <v>11</v>
      </c>
      <c r="O101" s="101">
        <f t="shared" si="12"/>
        <v>4</v>
      </c>
      <c r="P101" s="46"/>
      <c r="Q101" s="122">
        <v>4</v>
      </c>
      <c r="R101" s="101">
        <f t="shared" si="13"/>
        <v>11</v>
      </c>
      <c r="S101" s="55"/>
      <c r="T101" s="122">
        <v>11</v>
      </c>
    </row>
    <row r="102" spans="1:20" s="48" customFormat="1" ht="33" customHeight="1">
      <c r="A102" s="59">
        <v>60</v>
      </c>
      <c r="B102" s="78" t="s">
        <v>412</v>
      </c>
      <c r="C102" s="101">
        <f t="shared" si="8"/>
        <v>28</v>
      </c>
      <c r="D102" s="45"/>
      <c r="E102" s="131">
        <v>28</v>
      </c>
      <c r="F102" s="101">
        <f t="shared" si="9"/>
        <v>26</v>
      </c>
      <c r="G102" s="46"/>
      <c r="H102" s="131">
        <v>26</v>
      </c>
      <c r="I102" s="101">
        <f t="shared" si="10"/>
        <v>0</v>
      </c>
      <c r="J102" s="46"/>
      <c r="K102" s="131">
        <v>0</v>
      </c>
      <c r="L102" s="101">
        <f t="shared" si="11"/>
        <v>28</v>
      </c>
      <c r="M102" s="44"/>
      <c r="N102" s="122">
        <v>28</v>
      </c>
      <c r="O102" s="101">
        <f t="shared" si="12"/>
        <v>0</v>
      </c>
      <c r="P102" s="46"/>
      <c r="Q102" s="122">
        <v>0</v>
      </c>
      <c r="R102" s="101">
        <f t="shared" si="13"/>
        <v>26</v>
      </c>
      <c r="S102" s="55"/>
      <c r="T102" s="122">
        <v>26</v>
      </c>
    </row>
    <row r="103" spans="1:20" s="48" customFormat="1" ht="15.75">
      <c r="A103" s="59">
        <v>61</v>
      </c>
      <c r="B103" s="78" t="s">
        <v>413</v>
      </c>
      <c r="C103" s="101">
        <f t="shared" si="8"/>
        <v>12</v>
      </c>
      <c r="D103" s="45"/>
      <c r="E103" s="131">
        <v>12</v>
      </c>
      <c r="F103" s="101">
        <f t="shared" si="9"/>
        <v>12</v>
      </c>
      <c r="G103" s="46"/>
      <c r="H103" s="131">
        <v>12</v>
      </c>
      <c r="I103" s="101">
        <f t="shared" si="10"/>
        <v>0</v>
      </c>
      <c r="J103" s="46"/>
      <c r="K103" s="131">
        <v>0</v>
      </c>
      <c r="L103" s="101">
        <f t="shared" si="11"/>
        <v>12</v>
      </c>
      <c r="M103" s="44"/>
      <c r="N103" s="122">
        <v>12</v>
      </c>
      <c r="O103" s="101">
        <f t="shared" si="12"/>
        <v>0</v>
      </c>
      <c r="P103" s="46"/>
      <c r="Q103" s="122">
        <v>0</v>
      </c>
      <c r="R103" s="101">
        <f t="shared" si="13"/>
        <v>2</v>
      </c>
      <c r="S103" s="55"/>
      <c r="T103" s="122">
        <v>2</v>
      </c>
    </row>
    <row r="104" spans="1:20" s="48" customFormat="1" ht="19.5" customHeight="1">
      <c r="A104" s="59">
        <v>62</v>
      </c>
      <c r="B104" s="78" t="s">
        <v>414</v>
      </c>
      <c r="C104" s="101">
        <f t="shared" si="8"/>
        <v>0</v>
      </c>
      <c r="D104" s="45"/>
      <c r="E104" s="131">
        <v>0</v>
      </c>
      <c r="F104" s="101">
        <f t="shared" si="9"/>
        <v>0</v>
      </c>
      <c r="G104" s="46"/>
      <c r="H104" s="131">
        <v>0</v>
      </c>
      <c r="I104" s="101">
        <f t="shared" si="10"/>
        <v>0</v>
      </c>
      <c r="J104" s="46"/>
      <c r="K104" s="131">
        <v>0</v>
      </c>
      <c r="L104" s="101">
        <f t="shared" si="11"/>
        <v>0</v>
      </c>
      <c r="M104" s="44"/>
      <c r="N104" s="122">
        <v>0</v>
      </c>
      <c r="O104" s="101">
        <f t="shared" si="12"/>
        <v>0</v>
      </c>
      <c r="P104" s="46"/>
      <c r="Q104" s="122">
        <v>0</v>
      </c>
      <c r="R104" s="101">
        <f t="shared" si="13"/>
        <v>0</v>
      </c>
      <c r="S104" s="55"/>
      <c r="T104" s="122">
        <v>0</v>
      </c>
    </row>
    <row r="105" spans="1:20" s="48" customFormat="1" ht="15.75">
      <c r="A105" s="59">
        <v>63</v>
      </c>
      <c r="B105" s="75" t="s">
        <v>415</v>
      </c>
      <c r="C105" s="101">
        <f t="shared" si="8"/>
        <v>3</v>
      </c>
      <c r="D105" s="45"/>
      <c r="E105" s="131">
        <v>3</v>
      </c>
      <c r="F105" s="101">
        <f t="shared" si="9"/>
        <v>3</v>
      </c>
      <c r="G105" s="46"/>
      <c r="H105" s="131">
        <v>3</v>
      </c>
      <c r="I105" s="101">
        <f t="shared" si="10"/>
        <v>3</v>
      </c>
      <c r="J105" s="46"/>
      <c r="K105" s="131">
        <v>3</v>
      </c>
      <c r="L105" s="101">
        <f t="shared" si="11"/>
        <v>3</v>
      </c>
      <c r="M105" s="44"/>
      <c r="N105" s="122">
        <v>3</v>
      </c>
      <c r="O105" s="101">
        <f t="shared" si="12"/>
        <v>3</v>
      </c>
      <c r="P105" s="46"/>
      <c r="Q105" s="122">
        <v>3</v>
      </c>
      <c r="R105" s="101">
        <f t="shared" si="13"/>
        <v>3</v>
      </c>
      <c r="S105" s="55"/>
      <c r="T105" s="122">
        <v>3</v>
      </c>
    </row>
    <row r="106" spans="1:17" s="22" customFormat="1" ht="15.75">
      <c r="A106"/>
      <c r="B106" s="50"/>
      <c r="C106" s="13"/>
      <c r="D106" s="13"/>
      <c r="E106"/>
      <c r="F106"/>
      <c r="G106"/>
      <c r="H106"/>
      <c r="I106"/>
      <c r="J106"/>
      <c r="K106"/>
      <c r="L106"/>
      <c r="M106"/>
      <c r="N106"/>
      <c r="O106"/>
      <c r="P106"/>
      <c r="Q106"/>
    </row>
    <row r="107" spans="1:12" s="89" customFormat="1" ht="18" customHeight="1">
      <c r="A107" s="50"/>
      <c r="B107" s="50" t="s">
        <v>342</v>
      </c>
      <c r="C107" s="56" t="s">
        <v>505</v>
      </c>
      <c r="D107" s="56"/>
      <c r="E107" s="56"/>
      <c r="F107" s="56"/>
      <c r="G107" s="50"/>
      <c r="H107" s="50"/>
      <c r="I107" s="50"/>
      <c r="J107" s="50"/>
      <c r="K107" s="88"/>
      <c r="L107" s="88"/>
    </row>
    <row r="108" spans="1:10" s="87" customFormat="1" ht="18" customHeight="1">
      <c r="A108" s="50"/>
      <c r="B108" s="50" t="s">
        <v>343</v>
      </c>
      <c r="C108" s="50" t="s">
        <v>344</v>
      </c>
      <c r="E108" s="50"/>
      <c r="F108" s="50"/>
      <c r="G108" s="50"/>
      <c r="H108" s="50"/>
      <c r="I108" s="50"/>
      <c r="J108" s="50"/>
    </row>
    <row r="109" spans="1:10" s="87" customFormat="1" ht="18" customHeight="1">
      <c r="A109" s="50"/>
      <c r="B109" s="50" t="s">
        <v>345</v>
      </c>
      <c r="C109" s="50" t="s">
        <v>346</v>
      </c>
      <c r="E109" s="50"/>
      <c r="F109" s="50"/>
      <c r="G109" s="50"/>
      <c r="H109" s="50"/>
      <c r="I109" s="50"/>
      <c r="J109" s="50"/>
    </row>
    <row r="110" spans="1:20" s="22" customFormat="1" ht="15.75">
      <c r="A110"/>
      <c r="B110" s="142"/>
      <c r="C110" s="120" t="s">
        <v>493</v>
      </c>
      <c r="D110" s="13"/>
      <c r="E110"/>
      <c r="F110"/>
      <c r="G110"/>
      <c r="H110"/>
      <c r="I110"/>
      <c r="J110"/>
      <c r="K110"/>
      <c r="L110"/>
      <c r="M110"/>
      <c r="N110"/>
      <c r="O110"/>
      <c r="P110"/>
      <c r="Q110"/>
      <c r="R110"/>
      <c r="S110"/>
      <c r="T110" s="13"/>
    </row>
    <row r="111" spans="1:20" s="22" customFormat="1" ht="15.75">
      <c r="A111"/>
      <c r="B111" s="90"/>
      <c r="C111" s="50" t="s">
        <v>430</v>
      </c>
      <c r="D111" s="13"/>
      <c r="E111"/>
      <c r="F111"/>
      <c r="G111"/>
      <c r="H111"/>
      <c r="I111"/>
      <c r="J111"/>
      <c r="K111"/>
      <c r="L111"/>
      <c r="M111"/>
      <c r="N111"/>
      <c r="O111"/>
      <c r="P111"/>
      <c r="Q111"/>
      <c r="R111"/>
      <c r="S111"/>
      <c r="T111" s="13"/>
    </row>
    <row r="112" spans="1:20" s="22" customFormat="1" ht="15.75">
      <c r="A112"/>
      <c r="B112" s="91"/>
      <c r="C112" s="50" t="s">
        <v>429</v>
      </c>
      <c r="D112" s="13"/>
      <c r="E112"/>
      <c r="F112"/>
      <c r="G112"/>
      <c r="H112"/>
      <c r="I112"/>
      <c r="J112"/>
      <c r="K112"/>
      <c r="L112"/>
      <c r="M112"/>
      <c r="N112"/>
      <c r="O112"/>
      <c r="P112"/>
      <c r="Q112"/>
      <c r="R112"/>
      <c r="S112"/>
      <c r="T112" s="13"/>
    </row>
    <row r="113" spans="1:20" s="38" customFormat="1" ht="15.75">
      <c r="A113"/>
      <c r="B113" s="143"/>
      <c r="C113" s="86" t="s">
        <v>495</v>
      </c>
      <c r="D113" s="13"/>
      <c r="E113"/>
      <c r="F113"/>
      <c r="G113"/>
      <c r="H113"/>
      <c r="I113"/>
      <c r="J113"/>
      <c r="K113"/>
      <c r="L113"/>
      <c r="M113"/>
      <c r="N113"/>
      <c r="O113"/>
      <c r="P113"/>
      <c r="Q113"/>
      <c r="R113"/>
      <c r="S113"/>
      <c r="T113" s="13"/>
    </row>
    <row r="114" spans="1:20" s="22" customFormat="1" ht="16.5" customHeight="1">
      <c r="A114"/>
      <c r="B114" s="50"/>
      <c r="C114" s="13"/>
      <c r="D114" s="13"/>
      <c r="E114"/>
      <c r="F114"/>
      <c r="G114"/>
      <c r="H114"/>
      <c r="I114"/>
      <c r="J114"/>
      <c r="K114"/>
      <c r="L114"/>
      <c r="M114"/>
      <c r="N114"/>
      <c r="O114"/>
      <c r="P114"/>
      <c r="Q114"/>
      <c r="R114"/>
      <c r="S114"/>
      <c r="T114" s="13"/>
    </row>
    <row r="115" spans="1:20" s="22" customFormat="1" ht="15.75">
      <c r="A115"/>
      <c r="B115" s="50"/>
      <c r="C115" s="13"/>
      <c r="D115" s="13"/>
      <c r="E115"/>
      <c r="F115"/>
      <c r="G115"/>
      <c r="H115"/>
      <c r="I115"/>
      <c r="J115"/>
      <c r="K115"/>
      <c r="L115"/>
      <c r="M115"/>
      <c r="N115"/>
      <c r="O115"/>
      <c r="P115"/>
      <c r="Q115"/>
      <c r="R115"/>
      <c r="S115"/>
      <c r="T115" s="13"/>
    </row>
    <row r="116" spans="1:20" s="22" customFormat="1" ht="15.75">
      <c r="A116"/>
      <c r="B116" s="50"/>
      <c r="C116" s="13"/>
      <c r="D116" s="13"/>
      <c r="E116"/>
      <c r="F116"/>
      <c r="G116"/>
      <c r="H116"/>
      <c r="I116"/>
      <c r="J116"/>
      <c r="K116"/>
      <c r="L116"/>
      <c r="M116"/>
      <c r="N116"/>
      <c r="O116"/>
      <c r="P116"/>
      <c r="Q116"/>
      <c r="R116"/>
      <c r="S116"/>
      <c r="T116" s="13"/>
    </row>
    <row r="117" spans="1:17" s="22" customFormat="1" ht="15.75">
      <c r="A117"/>
      <c r="B117" s="50"/>
      <c r="C117" s="13"/>
      <c r="D117" s="13"/>
      <c r="E117"/>
      <c r="F117"/>
      <c r="G117"/>
      <c r="H117"/>
      <c r="I117"/>
      <c r="J117"/>
      <c r="K117"/>
      <c r="L117"/>
      <c r="M117"/>
      <c r="N117"/>
      <c r="O117"/>
      <c r="P117"/>
      <c r="Q117"/>
    </row>
    <row r="118" spans="1:17" s="38" customFormat="1" ht="15.75">
      <c r="A118"/>
      <c r="B118" s="50"/>
      <c r="C118" s="13"/>
      <c r="D118" s="13"/>
      <c r="E118"/>
      <c r="F118"/>
      <c r="G118"/>
      <c r="H118"/>
      <c r="I118"/>
      <c r="J118"/>
      <c r="K118"/>
      <c r="L118"/>
      <c r="M118"/>
      <c r="N118"/>
      <c r="O118"/>
      <c r="P118"/>
      <c r="Q118"/>
    </row>
    <row r="119" spans="1:17" s="22" customFormat="1" ht="16.5" customHeight="1">
      <c r="A119"/>
      <c r="B119" s="50"/>
      <c r="C119" s="13"/>
      <c r="D119" s="13"/>
      <c r="E119"/>
      <c r="F119"/>
      <c r="G119"/>
      <c r="H119"/>
      <c r="I119"/>
      <c r="J119"/>
      <c r="K119"/>
      <c r="L119"/>
      <c r="M119"/>
      <c r="N119"/>
      <c r="O119"/>
      <c r="P119"/>
      <c r="Q119"/>
    </row>
    <row r="120" spans="1:17" s="22" customFormat="1" ht="15.75">
      <c r="A120"/>
      <c r="B120" s="50"/>
      <c r="C120" s="13"/>
      <c r="D120" s="13"/>
      <c r="E120"/>
      <c r="F120"/>
      <c r="G120"/>
      <c r="H120"/>
      <c r="I120"/>
      <c r="J120"/>
      <c r="K120"/>
      <c r="L120"/>
      <c r="M120"/>
      <c r="N120"/>
      <c r="O120"/>
      <c r="P120"/>
      <c r="Q120"/>
    </row>
    <row r="121" spans="1:17" s="22" customFormat="1" ht="15.75">
      <c r="A121"/>
      <c r="B121" s="50"/>
      <c r="C121" s="13"/>
      <c r="D121" s="13"/>
      <c r="E121"/>
      <c r="F121"/>
      <c r="G121"/>
      <c r="H121"/>
      <c r="I121"/>
      <c r="J121"/>
      <c r="K121"/>
      <c r="L121"/>
      <c r="M121"/>
      <c r="N121"/>
      <c r="O121"/>
      <c r="P121"/>
      <c r="Q121"/>
    </row>
    <row r="122" spans="1:17" s="22" customFormat="1" ht="15.75">
      <c r="A122"/>
      <c r="B122" s="50"/>
      <c r="C122" s="13"/>
      <c r="D122" s="13"/>
      <c r="E122"/>
      <c r="F122"/>
      <c r="G122"/>
      <c r="H122"/>
      <c r="I122"/>
      <c r="J122"/>
      <c r="K122"/>
      <c r="L122"/>
      <c r="M122"/>
      <c r="N122"/>
      <c r="O122"/>
      <c r="P122"/>
      <c r="Q122"/>
    </row>
    <row r="123" spans="1:17" s="22" customFormat="1" ht="15.75">
      <c r="A123"/>
      <c r="B123" s="50"/>
      <c r="C123" s="13"/>
      <c r="D123" s="13"/>
      <c r="E123"/>
      <c r="F123"/>
      <c r="G123"/>
      <c r="H123"/>
      <c r="I123"/>
      <c r="J123"/>
      <c r="K123"/>
      <c r="L123"/>
      <c r="M123"/>
      <c r="N123"/>
      <c r="O123"/>
      <c r="P123"/>
      <c r="Q123"/>
    </row>
    <row r="124" spans="1:17" s="22" customFormat="1" ht="15.75">
      <c r="A124"/>
      <c r="B124" s="50"/>
      <c r="C124" s="13"/>
      <c r="D124" s="13"/>
      <c r="E124"/>
      <c r="F124"/>
      <c r="G124"/>
      <c r="H124"/>
      <c r="I124"/>
      <c r="J124"/>
      <c r="K124"/>
      <c r="L124"/>
      <c r="M124"/>
      <c r="N124"/>
      <c r="O124"/>
      <c r="P124"/>
      <c r="Q124"/>
    </row>
    <row r="125" spans="1:17" s="22" customFormat="1" ht="15.75">
      <c r="A125"/>
      <c r="B125" s="50"/>
      <c r="C125" s="13"/>
      <c r="D125" s="13"/>
      <c r="E125"/>
      <c r="F125"/>
      <c r="G125"/>
      <c r="H125"/>
      <c r="I125"/>
      <c r="J125"/>
      <c r="K125"/>
      <c r="L125"/>
      <c r="M125"/>
      <c r="N125"/>
      <c r="O125"/>
      <c r="P125"/>
      <c r="Q125"/>
    </row>
    <row r="126" spans="1:17" s="22" customFormat="1" ht="15.75">
      <c r="A126"/>
      <c r="B126" s="50"/>
      <c r="C126" s="13"/>
      <c r="D126" s="13"/>
      <c r="E126"/>
      <c r="F126"/>
      <c r="G126"/>
      <c r="H126"/>
      <c r="I126"/>
      <c r="J126"/>
      <c r="K126"/>
      <c r="L126"/>
      <c r="M126"/>
      <c r="N126"/>
      <c r="O126"/>
      <c r="P126"/>
      <c r="Q126"/>
    </row>
    <row r="127" spans="1:17" s="22" customFormat="1" ht="15.75">
      <c r="A127"/>
      <c r="B127" s="50"/>
      <c r="C127" s="13"/>
      <c r="D127" s="13"/>
      <c r="E127"/>
      <c r="F127"/>
      <c r="G127"/>
      <c r="H127"/>
      <c r="I127"/>
      <c r="J127"/>
      <c r="K127"/>
      <c r="L127"/>
      <c r="M127"/>
      <c r="N127"/>
      <c r="O127"/>
      <c r="P127"/>
      <c r="Q127"/>
    </row>
    <row r="128" spans="1:17" s="22" customFormat="1" ht="15.75">
      <c r="A128"/>
      <c r="B128" s="50"/>
      <c r="C128" s="13"/>
      <c r="D128" s="13"/>
      <c r="E128"/>
      <c r="F128"/>
      <c r="G128"/>
      <c r="H128"/>
      <c r="I128"/>
      <c r="J128"/>
      <c r="K128"/>
      <c r="L128"/>
      <c r="M128"/>
      <c r="N128"/>
      <c r="O128"/>
      <c r="P128"/>
      <c r="Q128"/>
    </row>
    <row r="129" spans="1:17" s="39" customFormat="1" ht="15.75">
      <c r="A129"/>
      <c r="B129" s="50"/>
      <c r="C129" s="13"/>
      <c r="D129" s="13"/>
      <c r="E129"/>
      <c r="F129"/>
      <c r="G129"/>
      <c r="H129"/>
      <c r="I129"/>
      <c r="J129"/>
      <c r="K129"/>
      <c r="L129"/>
      <c r="M129"/>
      <c r="N129"/>
      <c r="O129"/>
      <c r="P129"/>
      <c r="Q129"/>
    </row>
    <row r="130" spans="1:17" s="22" customFormat="1" ht="15.75">
      <c r="A130"/>
      <c r="B130" s="50"/>
      <c r="C130" s="13"/>
      <c r="D130" s="13"/>
      <c r="E130"/>
      <c r="F130"/>
      <c r="G130"/>
      <c r="H130"/>
      <c r="I130"/>
      <c r="J130"/>
      <c r="K130"/>
      <c r="L130"/>
      <c r="M130"/>
      <c r="N130"/>
      <c r="O130"/>
      <c r="P130"/>
      <c r="Q130"/>
    </row>
    <row r="131" spans="1:17" s="22" customFormat="1" ht="15.75">
      <c r="A131"/>
      <c r="B131" s="50"/>
      <c r="C131" s="13"/>
      <c r="D131" s="13"/>
      <c r="E131"/>
      <c r="F131"/>
      <c r="G131"/>
      <c r="H131"/>
      <c r="I131"/>
      <c r="J131"/>
      <c r="K131"/>
      <c r="L131"/>
      <c r="M131"/>
      <c r="N131"/>
      <c r="O131"/>
      <c r="P131"/>
      <c r="Q131"/>
    </row>
    <row r="132" spans="1:17" s="40" customFormat="1" ht="15.75">
      <c r="A132"/>
      <c r="B132" s="50"/>
      <c r="C132" s="13"/>
      <c r="D132" s="13"/>
      <c r="E132"/>
      <c r="F132"/>
      <c r="G132"/>
      <c r="H132"/>
      <c r="I132"/>
      <c r="J132"/>
      <c r="K132"/>
      <c r="L132"/>
      <c r="M132"/>
      <c r="N132"/>
      <c r="O132"/>
      <c r="P132"/>
      <c r="Q132"/>
    </row>
    <row r="133" spans="1:17" s="39" customFormat="1" ht="15.75">
      <c r="A133"/>
      <c r="B133" s="50"/>
      <c r="C133" s="13"/>
      <c r="D133" s="13"/>
      <c r="E133"/>
      <c r="F133"/>
      <c r="G133"/>
      <c r="H133"/>
      <c r="I133"/>
      <c r="J133"/>
      <c r="K133"/>
      <c r="L133"/>
      <c r="M133"/>
      <c r="N133"/>
      <c r="O133"/>
      <c r="P133"/>
      <c r="Q133"/>
    </row>
    <row r="134" spans="1:17" s="22" customFormat="1" ht="15.75">
      <c r="A134"/>
      <c r="B134" s="50"/>
      <c r="C134" s="13"/>
      <c r="D134" s="13"/>
      <c r="E134"/>
      <c r="F134"/>
      <c r="G134"/>
      <c r="H134"/>
      <c r="I134"/>
      <c r="J134"/>
      <c r="K134"/>
      <c r="L134"/>
      <c r="M134"/>
      <c r="N134"/>
      <c r="O134"/>
      <c r="P134"/>
      <c r="Q134"/>
    </row>
    <row r="135" spans="1:17" s="22" customFormat="1" ht="15.75">
      <c r="A135"/>
      <c r="B135" s="50"/>
      <c r="C135" s="13"/>
      <c r="D135" s="13"/>
      <c r="E135"/>
      <c r="F135"/>
      <c r="G135"/>
      <c r="H135"/>
      <c r="I135"/>
      <c r="J135"/>
      <c r="K135"/>
      <c r="L135"/>
      <c r="M135"/>
      <c r="N135"/>
      <c r="O135"/>
      <c r="P135"/>
      <c r="Q135"/>
    </row>
    <row r="136" spans="1:17" s="39" customFormat="1" ht="15.75">
      <c r="A136"/>
      <c r="B136" s="50"/>
      <c r="C136" s="13"/>
      <c r="D136" s="13"/>
      <c r="E136"/>
      <c r="F136"/>
      <c r="G136"/>
      <c r="H136"/>
      <c r="I136"/>
      <c r="J136"/>
      <c r="K136"/>
      <c r="L136"/>
      <c r="M136"/>
      <c r="N136"/>
      <c r="O136"/>
      <c r="P136"/>
      <c r="Q136"/>
    </row>
    <row r="137" spans="1:17" s="22" customFormat="1" ht="15.75">
      <c r="A137"/>
      <c r="B137" s="50"/>
      <c r="C137" s="13"/>
      <c r="D137" s="13"/>
      <c r="E137"/>
      <c r="F137"/>
      <c r="G137"/>
      <c r="H137"/>
      <c r="I137"/>
      <c r="J137"/>
      <c r="K137"/>
      <c r="L137"/>
      <c r="M137"/>
      <c r="N137"/>
      <c r="O137"/>
      <c r="P137"/>
      <c r="Q137"/>
    </row>
    <row r="138" spans="1:17" s="22" customFormat="1" ht="15.75">
      <c r="A138"/>
      <c r="B138" s="50"/>
      <c r="C138" s="13"/>
      <c r="D138" s="13"/>
      <c r="E138"/>
      <c r="F138"/>
      <c r="G138"/>
      <c r="H138"/>
      <c r="I138"/>
      <c r="J138"/>
      <c r="K138"/>
      <c r="L138"/>
      <c r="M138"/>
      <c r="N138"/>
      <c r="O138"/>
      <c r="P138"/>
      <c r="Q138"/>
    </row>
    <row r="139" spans="1:17" s="22" customFormat="1" ht="15.75">
      <c r="A139"/>
      <c r="B139" s="50"/>
      <c r="C139" s="13"/>
      <c r="D139" s="13"/>
      <c r="E139"/>
      <c r="F139"/>
      <c r="G139"/>
      <c r="H139"/>
      <c r="I139"/>
      <c r="J139"/>
      <c r="K139"/>
      <c r="L139"/>
      <c r="M139"/>
      <c r="N139"/>
      <c r="O139"/>
      <c r="P139"/>
      <c r="Q139"/>
    </row>
    <row r="140" spans="1:17" s="22" customFormat="1" ht="15.75">
      <c r="A140"/>
      <c r="B140" s="50"/>
      <c r="C140" s="13"/>
      <c r="D140" s="13"/>
      <c r="E140"/>
      <c r="F140"/>
      <c r="G140"/>
      <c r="H140"/>
      <c r="I140"/>
      <c r="J140"/>
      <c r="K140"/>
      <c r="L140"/>
      <c r="M140"/>
      <c r="N140"/>
      <c r="O140"/>
      <c r="P140"/>
      <c r="Q140"/>
    </row>
    <row r="141" spans="1:17" s="39" customFormat="1" ht="15.75">
      <c r="A141"/>
      <c r="B141" s="50"/>
      <c r="C141" s="13"/>
      <c r="D141" s="13"/>
      <c r="E141"/>
      <c r="F141"/>
      <c r="G141"/>
      <c r="H141"/>
      <c r="I141"/>
      <c r="J141"/>
      <c r="K141"/>
      <c r="L141"/>
      <c r="M141"/>
      <c r="N141"/>
      <c r="O141"/>
      <c r="P141"/>
      <c r="Q141"/>
    </row>
    <row r="142" spans="1:17" s="22" customFormat="1" ht="15.75">
      <c r="A142"/>
      <c r="B142" s="50"/>
      <c r="C142" s="13"/>
      <c r="D142" s="13"/>
      <c r="E142"/>
      <c r="F142"/>
      <c r="G142"/>
      <c r="H142"/>
      <c r="I142"/>
      <c r="J142"/>
      <c r="K142"/>
      <c r="L142"/>
      <c r="M142"/>
      <c r="N142"/>
      <c r="O142"/>
      <c r="P142"/>
      <c r="Q142"/>
    </row>
    <row r="143" spans="1:17" s="22" customFormat="1" ht="15.75">
      <c r="A143"/>
      <c r="B143" s="50"/>
      <c r="C143" s="13"/>
      <c r="D143" s="13"/>
      <c r="E143"/>
      <c r="F143"/>
      <c r="G143"/>
      <c r="H143"/>
      <c r="I143"/>
      <c r="J143"/>
      <c r="K143"/>
      <c r="L143"/>
      <c r="M143"/>
      <c r="N143"/>
      <c r="O143"/>
      <c r="P143"/>
      <c r="Q143"/>
    </row>
    <row r="144" spans="1:17" s="22" customFormat="1" ht="15.75">
      <c r="A144"/>
      <c r="B144" s="50"/>
      <c r="C144" s="13"/>
      <c r="D144" s="13"/>
      <c r="E144"/>
      <c r="F144"/>
      <c r="G144"/>
      <c r="H144"/>
      <c r="I144"/>
      <c r="J144"/>
      <c r="K144"/>
      <c r="L144"/>
      <c r="M144"/>
      <c r="N144"/>
      <c r="O144"/>
      <c r="P144"/>
      <c r="Q144"/>
    </row>
    <row r="145" spans="1:17" s="22" customFormat="1" ht="15.75">
      <c r="A145"/>
      <c r="B145" s="50"/>
      <c r="C145" s="13"/>
      <c r="D145" s="13"/>
      <c r="E145"/>
      <c r="F145"/>
      <c r="G145"/>
      <c r="H145"/>
      <c r="I145"/>
      <c r="J145"/>
      <c r="K145"/>
      <c r="L145"/>
      <c r="M145"/>
      <c r="N145"/>
      <c r="O145"/>
      <c r="P145"/>
      <c r="Q145"/>
    </row>
    <row r="146" spans="1:17" s="22" customFormat="1" ht="15.75">
      <c r="A146"/>
      <c r="B146" s="50"/>
      <c r="C146" s="13"/>
      <c r="D146" s="13"/>
      <c r="E146"/>
      <c r="F146"/>
      <c r="G146"/>
      <c r="H146"/>
      <c r="I146"/>
      <c r="J146"/>
      <c r="K146"/>
      <c r="L146"/>
      <c r="M146"/>
      <c r="N146"/>
      <c r="O146"/>
      <c r="P146"/>
      <c r="Q146"/>
    </row>
    <row r="147" spans="1:17" s="22" customFormat="1" ht="15.75">
      <c r="A147"/>
      <c r="B147" s="50"/>
      <c r="C147" s="13"/>
      <c r="D147" s="13"/>
      <c r="E147"/>
      <c r="F147"/>
      <c r="G147"/>
      <c r="H147"/>
      <c r="I147"/>
      <c r="J147"/>
      <c r="K147"/>
      <c r="L147"/>
      <c r="M147"/>
      <c r="N147"/>
      <c r="O147"/>
      <c r="P147"/>
      <c r="Q147"/>
    </row>
    <row r="148" spans="1:17" s="39" customFormat="1" ht="15.75">
      <c r="A148"/>
      <c r="B148" s="50"/>
      <c r="C148" s="13"/>
      <c r="D148" s="13"/>
      <c r="E148"/>
      <c r="F148"/>
      <c r="G148"/>
      <c r="H148"/>
      <c r="I148"/>
      <c r="J148"/>
      <c r="K148"/>
      <c r="L148"/>
      <c r="M148"/>
      <c r="N148"/>
      <c r="O148"/>
      <c r="P148"/>
      <c r="Q148"/>
    </row>
    <row r="149" spans="1:17" s="22" customFormat="1" ht="15.75">
      <c r="A149"/>
      <c r="B149" s="50"/>
      <c r="C149" s="13"/>
      <c r="D149" s="13"/>
      <c r="E149"/>
      <c r="F149"/>
      <c r="G149"/>
      <c r="H149"/>
      <c r="I149"/>
      <c r="J149"/>
      <c r="K149"/>
      <c r="L149"/>
      <c r="M149"/>
      <c r="N149"/>
      <c r="O149"/>
      <c r="P149"/>
      <c r="Q149"/>
    </row>
    <row r="150" spans="1:17" s="38" customFormat="1" ht="15.75">
      <c r="A150"/>
      <c r="B150" s="50"/>
      <c r="C150" s="13"/>
      <c r="D150" s="13"/>
      <c r="E150"/>
      <c r="F150"/>
      <c r="G150"/>
      <c r="H150"/>
      <c r="I150"/>
      <c r="J150"/>
      <c r="K150"/>
      <c r="L150"/>
      <c r="M150"/>
      <c r="N150"/>
      <c r="O150"/>
      <c r="P150"/>
      <c r="Q150"/>
    </row>
    <row r="151" spans="1:17" s="39" customFormat="1" ht="15.75">
      <c r="A151"/>
      <c r="B151" s="50"/>
      <c r="C151" s="13"/>
      <c r="D151" s="13"/>
      <c r="E151"/>
      <c r="F151"/>
      <c r="G151"/>
      <c r="H151"/>
      <c r="I151"/>
      <c r="J151"/>
      <c r="K151"/>
      <c r="L151"/>
      <c r="M151"/>
      <c r="N151"/>
      <c r="O151"/>
      <c r="P151"/>
      <c r="Q151"/>
    </row>
    <row r="152" s="39" customFormat="1" ht="28.5" customHeight="1">
      <c r="B152" s="51"/>
    </row>
    <row r="153" spans="5:17" ht="15.75">
      <c r="E153"/>
      <c r="F153"/>
      <c r="G153"/>
      <c r="H153"/>
      <c r="I153"/>
      <c r="J153"/>
      <c r="K153"/>
      <c r="L153"/>
      <c r="M153"/>
      <c r="N153"/>
      <c r="O153"/>
      <c r="P153"/>
      <c r="Q153"/>
    </row>
    <row r="154" spans="5:17" ht="15.75">
      <c r="E154"/>
      <c r="F154"/>
      <c r="G154"/>
      <c r="H154"/>
      <c r="I154"/>
      <c r="J154"/>
      <c r="K154"/>
      <c r="L154"/>
      <c r="M154"/>
      <c r="N154"/>
      <c r="O154"/>
      <c r="P154"/>
      <c r="Q154"/>
    </row>
    <row r="155" spans="5:17" ht="15.75">
      <c r="E155"/>
      <c r="F155"/>
      <c r="G155"/>
      <c r="H155"/>
      <c r="I155"/>
      <c r="J155"/>
      <c r="K155"/>
      <c r="L155"/>
      <c r="M155"/>
      <c r="N155"/>
      <c r="O155"/>
      <c r="P155"/>
      <c r="Q155"/>
    </row>
    <row r="156" spans="5:17" ht="15.75">
      <c r="E156"/>
      <c r="F156"/>
      <c r="G156"/>
      <c r="H156"/>
      <c r="I156"/>
      <c r="J156"/>
      <c r="K156"/>
      <c r="L156"/>
      <c r="M156"/>
      <c r="N156"/>
      <c r="O156"/>
      <c r="P156"/>
      <c r="Q156"/>
    </row>
    <row r="157" spans="5:17" ht="15.75">
      <c r="E157"/>
      <c r="F157"/>
      <c r="G157"/>
      <c r="H157"/>
      <c r="I157"/>
      <c r="J157"/>
      <c r="K157"/>
      <c r="L157"/>
      <c r="M157"/>
      <c r="N157"/>
      <c r="O157"/>
      <c r="P157"/>
      <c r="Q157"/>
    </row>
    <row r="158" spans="5:17" ht="15.75">
      <c r="E158"/>
      <c r="F158"/>
      <c r="G158"/>
      <c r="H158"/>
      <c r="I158"/>
      <c r="J158"/>
      <c r="K158"/>
      <c r="L158"/>
      <c r="M158"/>
      <c r="N158"/>
      <c r="O158"/>
      <c r="P158"/>
      <c r="Q158"/>
    </row>
    <row r="159" spans="5:17" ht="15.75">
      <c r="E159"/>
      <c r="F159"/>
      <c r="G159"/>
      <c r="H159"/>
      <c r="I159"/>
      <c r="J159"/>
      <c r="K159"/>
      <c r="L159"/>
      <c r="M159"/>
      <c r="N159"/>
      <c r="O159"/>
      <c r="P159"/>
      <c r="Q159"/>
    </row>
    <row r="160" spans="5:17" ht="15.75">
      <c r="E160"/>
      <c r="F160"/>
      <c r="G160"/>
      <c r="H160"/>
      <c r="I160"/>
      <c r="J160"/>
      <c r="K160"/>
      <c r="L160"/>
      <c r="M160"/>
      <c r="N160"/>
      <c r="O160"/>
      <c r="P160"/>
      <c r="Q160"/>
    </row>
    <row r="161" spans="5:17" ht="15.75">
      <c r="E161"/>
      <c r="F161"/>
      <c r="G161"/>
      <c r="H161"/>
      <c r="I161"/>
      <c r="J161"/>
      <c r="K161"/>
      <c r="L161"/>
      <c r="M161"/>
      <c r="N161"/>
      <c r="O161"/>
      <c r="P161"/>
      <c r="Q161"/>
    </row>
    <row r="162" spans="5:17" ht="15.75">
      <c r="E162"/>
      <c r="F162"/>
      <c r="G162"/>
      <c r="H162"/>
      <c r="I162"/>
      <c r="J162"/>
      <c r="K162"/>
      <c r="L162"/>
      <c r="M162"/>
      <c r="N162"/>
      <c r="O162"/>
      <c r="P162"/>
      <c r="Q162"/>
    </row>
    <row r="163" spans="5:17" ht="15.75">
      <c r="E163"/>
      <c r="F163"/>
      <c r="G163"/>
      <c r="H163"/>
      <c r="I163"/>
      <c r="J163"/>
      <c r="K163"/>
      <c r="L163"/>
      <c r="M163"/>
      <c r="N163"/>
      <c r="O163"/>
      <c r="P163"/>
      <c r="Q163"/>
    </row>
    <row r="164" spans="5:17" ht="15.75">
      <c r="E164"/>
      <c r="F164"/>
      <c r="G164"/>
      <c r="H164"/>
      <c r="I164"/>
      <c r="J164"/>
      <c r="K164"/>
      <c r="L164"/>
      <c r="M164"/>
      <c r="N164"/>
      <c r="O164"/>
      <c r="P164"/>
      <c r="Q164"/>
    </row>
    <row r="165" spans="5:17" ht="15.75">
      <c r="E165"/>
      <c r="F165"/>
      <c r="G165"/>
      <c r="H165"/>
      <c r="I165"/>
      <c r="J165"/>
      <c r="K165"/>
      <c r="L165"/>
      <c r="M165"/>
      <c r="N165"/>
      <c r="O165"/>
      <c r="P165"/>
      <c r="Q165"/>
    </row>
    <row r="166" spans="5:17" ht="15.75">
      <c r="E166"/>
      <c r="F166"/>
      <c r="G166"/>
      <c r="H166"/>
      <c r="I166"/>
      <c r="J166"/>
      <c r="K166"/>
      <c r="L166"/>
      <c r="M166"/>
      <c r="N166"/>
      <c r="O166"/>
      <c r="P166"/>
      <c r="Q166"/>
    </row>
    <row r="167" spans="5:17" ht="15.75">
      <c r="E167"/>
      <c r="F167"/>
      <c r="G167"/>
      <c r="H167"/>
      <c r="I167"/>
      <c r="J167"/>
      <c r="K167"/>
      <c r="L167"/>
      <c r="M167"/>
      <c r="N167"/>
      <c r="O167"/>
      <c r="P167"/>
      <c r="Q167"/>
    </row>
    <row r="168" spans="5:17" ht="15.75">
      <c r="E168"/>
      <c r="F168"/>
      <c r="G168"/>
      <c r="H168"/>
      <c r="I168"/>
      <c r="J168"/>
      <c r="K168"/>
      <c r="L168"/>
      <c r="M168"/>
      <c r="N168"/>
      <c r="O168"/>
      <c r="P168"/>
      <c r="Q168"/>
    </row>
    <row r="169" spans="5:17" ht="15.75">
      <c r="E169"/>
      <c r="F169"/>
      <c r="G169"/>
      <c r="H169"/>
      <c r="I169"/>
      <c r="J169"/>
      <c r="K169"/>
      <c r="L169"/>
      <c r="M169"/>
      <c r="N169"/>
      <c r="O169"/>
      <c r="P169"/>
      <c r="Q169"/>
    </row>
    <row r="170" spans="5:17" ht="15.75">
      <c r="E170"/>
      <c r="F170"/>
      <c r="G170"/>
      <c r="H170"/>
      <c r="I170"/>
      <c r="J170"/>
      <c r="K170"/>
      <c r="L170"/>
      <c r="M170"/>
      <c r="N170"/>
      <c r="O170"/>
      <c r="P170"/>
      <c r="Q170"/>
    </row>
    <row r="171" spans="5:17" ht="15.75">
      <c r="E171"/>
      <c r="F171"/>
      <c r="G171"/>
      <c r="H171"/>
      <c r="I171"/>
      <c r="J171"/>
      <c r="K171"/>
      <c r="L171"/>
      <c r="M171"/>
      <c r="N171"/>
      <c r="O171"/>
      <c r="P171"/>
      <c r="Q171"/>
    </row>
    <row r="172" spans="5:17" ht="15.75">
      <c r="E172"/>
      <c r="F172"/>
      <c r="G172"/>
      <c r="H172"/>
      <c r="I172"/>
      <c r="J172"/>
      <c r="K172"/>
      <c r="L172"/>
      <c r="M172"/>
      <c r="N172"/>
      <c r="O172"/>
      <c r="P172"/>
      <c r="Q172"/>
    </row>
    <row r="173" spans="5:17" ht="15.75">
      <c r="E173"/>
      <c r="F173"/>
      <c r="G173"/>
      <c r="H173"/>
      <c r="I173"/>
      <c r="J173"/>
      <c r="K173"/>
      <c r="L173"/>
      <c r="M173"/>
      <c r="N173"/>
      <c r="O173"/>
      <c r="P173"/>
      <c r="Q173"/>
    </row>
    <row r="174" spans="5:17" ht="15.75">
      <c r="E174"/>
      <c r="F174"/>
      <c r="G174"/>
      <c r="H174"/>
      <c r="I174"/>
      <c r="J174"/>
      <c r="K174"/>
      <c r="L174"/>
      <c r="M174"/>
      <c r="N174"/>
      <c r="O174"/>
      <c r="P174"/>
      <c r="Q174"/>
    </row>
    <row r="175" spans="5:17" ht="15.75">
      <c r="E175"/>
      <c r="F175"/>
      <c r="G175"/>
      <c r="H175"/>
      <c r="I175"/>
      <c r="J175"/>
      <c r="K175"/>
      <c r="L175"/>
      <c r="M175"/>
      <c r="N175"/>
      <c r="O175"/>
      <c r="P175"/>
      <c r="Q175"/>
    </row>
    <row r="176" spans="5:17" ht="15.75">
      <c r="E176"/>
      <c r="F176"/>
      <c r="G176"/>
      <c r="H176"/>
      <c r="I176"/>
      <c r="J176"/>
      <c r="K176"/>
      <c r="L176"/>
      <c r="M176"/>
      <c r="N176"/>
      <c r="O176"/>
      <c r="P176"/>
      <c r="Q176"/>
    </row>
    <row r="177" spans="5:17" ht="15.75">
      <c r="E177"/>
      <c r="F177"/>
      <c r="G177"/>
      <c r="H177"/>
      <c r="I177"/>
      <c r="J177"/>
      <c r="K177"/>
      <c r="L177"/>
      <c r="M177"/>
      <c r="N177"/>
      <c r="O177"/>
      <c r="P177"/>
      <c r="Q177"/>
    </row>
    <row r="178" spans="5:17" ht="15.75">
      <c r="E178"/>
      <c r="F178"/>
      <c r="G178"/>
      <c r="H178"/>
      <c r="I178"/>
      <c r="J178"/>
      <c r="K178"/>
      <c r="L178"/>
      <c r="M178"/>
      <c r="N178"/>
      <c r="O178"/>
      <c r="P178"/>
      <c r="Q178"/>
    </row>
    <row r="179" spans="5:17" ht="15.75">
      <c r="E179"/>
      <c r="F179"/>
      <c r="G179"/>
      <c r="H179"/>
      <c r="I179"/>
      <c r="J179"/>
      <c r="K179"/>
      <c r="L179"/>
      <c r="M179"/>
      <c r="N179"/>
      <c r="O179"/>
      <c r="P179"/>
      <c r="Q179"/>
    </row>
    <row r="180" spans="5:17" ht="15.75">
      <c r="E180"/>
      <c r="F180"/>
      <c r="G180"/>
      <c r="H180"/>
      <c r="I180"/>
      <c r="J180"/>
      <c r="K180"/>
      <c r="L180"/>
      <c r="M180"/>
      <c r="N180"/>
      <c r="O180"/>
      <c r="P180"/>
      <c r="Q180"/>
    </row>
    <row r="181" spans="5:17" ht="15.75">
      <c r="E181"/>
      <c r="F181"/>
      <c r="G181"/>
      <c r="H181"/>
      <c r="I181"/>
      <c r="J181"/>
      <c r="K181"/>
      <c r="L181"/>
      <c r="M181"/>
      <c r="N181"/>
      <c r="O181"/>
      <c r="P181"/>
      <c r="Q181"/>
    </row>
    <row r="182" spans="5:17" ht="15.75">
      <c r="E182"/>
      <c r="F182"/>
      <c r="G182"/>
      <c r="H182"/>
      <c r="I182"/>
      <c r="J182"/>
      <c r="K182"/>
      <c r="L182"/>
      <c r="M182"/>
      <c r="N182"/>
      <c r="O182"/>
      <c r="P182"/>
      <c r="Q182"/>
    </row>
    <row r="183" spans="5:17" ht="15.75">
      <c r="E183"/>
      <c r="F183"/>
      <c r="G183"/>
      <c r="H183"/>
      <c r="I183"/>
      <c r="J183"/>
      <c r="K183"/>
      <c r="L183"/>
      <c r="M183"/>
      <c r="N183"/>
      <c r="O183"/>
      <c r="P183"/>
      <c r="Q183"/>
    </row>
    <row r="184" spans="5:17" ht="15.75">
      <c r="E184"/>
      <c r="F184"/>
      <c r="G184"/>
      <c r="H184"/>
      <c r="I184"/>
      <c r="J184"/>
      <c r="K184"/>
      <c r="L184"/>
      <c r="M184"/>
      <c r="N184"/>
      <c r="O184"/>
      <c r="P184"/>
      <c r="Q184"/>
    </row>
    <row r="185" spans="5:17" ht="15.75">
      <c r="E185"/>
      <c r="F185"/>
      <c r="G185"/>
      <c r="H185"/>
      <c r="I185"/>
      <c r="J185"/>
      <c r="K185"/>
      <c r="L185"/>
      <c r="M185"/>
      <c r="N185"/>
      <c r="O185"/>
      <c r="P185"/>
      <c r="Q185"/>
    </row>
    <row r="186" spans="5:17" ht="15.75">
      <c r="E186"/>
      <c r="F186"/>
      <c r="G186"/>
      <c r="H186"/>
      <c r="I186"/>
      <c r="J186"/>
      <c r="K186"/>
      <c r="L186"/>
      <c r="M186"/>
      <c r="N186"/>
      <c r="O186"/>
      <c r="P186"/>
      <c r="Q186"/>
    </row>
    <row r="187" spans="5:17" ht="15.75">
      <c r="E187"/>
      <c r="F187"/>
      <c r="G187"/>
      <c r="H187"/>
      <c r="I187"/>
      <c r="J187"/>
      <c r="K187"/>
      <c r="L187"/>
      <c r="M187"/>
      <c r="N187"/>
      <c r="O187"/>
      <c r="P187"/>
      <c r="Q187"/>
    </row>
    <row r="188" spans="5:17" ht="15.75">
      <c r="E188"/>
      <c r="F188"/>
      <c r="G188"/>
      <c r="H188"/>
      <c r="I188"/>
      <c r="J188"/>
      <c r="K188"/>
      <c r="L188"/>
      <c r="M188"/>
      <c r="N188"/>
      <c r="O188"/>
      <c r="P188"/>
      <c r="Q188"/>
    </row>
    <row r="189" spans="5:17" ht="15.75">
      <c r="E189"/>
      <c r="F189"/>
      <c r="G189"/>
      <c r="H189"/>
      <c r="I189"/>
      <c r="J189"/>
      <c r="K189"/>
      <c r="L189"/>
      <c r="M189"/>
      <c r="N189"/>
      <c r="O189"/>
      <c r="P189"/>
      <c r="Q189"/>
    </row>
    <row r="190" spans="5:17" ht="15.75">
      <c r="E190"/>
      <c r="F190"/>
      <c r="G190"/>
      <c r="H190"/>
      <c r="I190"/>
      <c r="J190"/>
      <c r="K190"/>
      <c r="L190"/>
      <c r="M190"/>
      <c r="N190"/>
      <c r="O190"/>
      <c r="P190"/>
      <c r="Q190"/>
    </row>
    <row r="191" spans="5:17" ht="15.75">
      <c r="E191"/>
      <c r="F191"/>
      <c r="G191"/>
      <c r="H191"/>
      <c r="I191"/>
      <c r="J191"/>
      <c r="K191"/>
      <c r="L191"/>
      <c r="M191"/>
      <c r="N191"/>
      <c r="O191"/>
      <c r="P191"/>
      <c r="Q191"/>
    </row>
    <row r="192" spans="5:17" ht="15.75">
      <c r="E192"/>
      <c r="F192"/>
      <c r="G192"/>
      <c r="H192"/>
      <c r="I192"/>
      <c r="J192"/>
      <c r="K192"/>
      <c r="L192"/>
      <c r="M192"/>
      <c r="N192"/>
      <c r="O192"/>
      <c r="P192"/>
      <c r="Q192"/>
    </row>
    <row r="193" spans="5:17" ht="15.75">
      <c r="E193"/>
      <c r="F193"/>
      <c r="G193"/>
      <c r="H193"/>
      <c r="I193"/>
      <c r="J193"/>
      <c r="K193"/>
      <c r="L193"/>
      <c r="M193"/>
      <c r="N193"/>
      <c r="O193"/>
      <c r="P193"/>
      <c r="Q193"/>
    </row>
    <row r="194" spans="5:17" ht="15.75">
      <c r="E194"/>
      <c r="F194"/>
      <c r="G194"/>
      <c r="H194"/>
      <c r="I194"/>
      <c r="J194"/>
      <c r="K194"/>
      <c r="L194"/>
      <c r="M194"/>
      <c r="N194"/>
      <c r="O194"/>
      <c r="P194"/>
      <c r="Q194"/>
    </row>
    <row r="195" spans="5:17" ht="15.75">
      <c r="E195"/>
      <c r="F195"/>
      <c r="G195"/>
      <c r="H195"/>
      <c r="I195"/>
      <c r="J195"/>
      <c r="K195"/>
      <c r="L195"/>
      <c r="M195"/>
      <c r="N195"/>
      <c r="O195"/>
      <c r="P195"/>
      <c r="Q195"/>
    </row>
    <row r="196" spans="5:17" ht="15.75">
      <c r="E196"/>
      <c r="F196"/>
      <c r="G196"/>
      <c r="H196"/>
      <c r="I196"/>
      <c r="J196"/>
      <c r="K196"/>
      <c r="L196"/>
      <c r="M196"/>
      <c r="N196"/>
      <c r="O196"/>
      <c r="P196"/>
      <c r="Q196"/>
    </row>
    <row r="197" spans="5:17" ht="15.75">
      <c r="E197"/>
      <c r="F197"/>
      <c r="G197"/>
      <c r="H197"/>
      <c r="I197"/>
      <c r="J197"/>
      <c r="K197"/>
      <c r="L197"/>
      <c r="M197"/>
      <c r="N197"/>
      <c r="O197"/>
      <c r="P197"/>
      <c r="Q197"/>
    </row>
    <row r="198" spans="5:17" ht="15.75">
      <c r="E198"/>
      <c r="F198"/>
      <c r="G198"/>
      <c r="H198"/>
      <c r="I198"/>
      <c r="J198"/>
      <c r="K198"/>
      <c r="L198"/>
      <c r="M198"/>
      <c r="N198"/>
      <c r="O198"/>
      <c r="P198"/>
      <c r="Q198"/>
    </row>
    <row r="199" spans="5:17" ht="15.75">
      <c r="E199"/>
      <c r="F199"/>
      <c r="G199"/>
      <c r="H199"/>
      <c r="I199"/>
      <c r="J199"/>
      <c r="K199"/>
      <c r="L199"/>
      <c r="M199"/>
      <c r="N199"/>
      <c r="O199"/>
      <c r="P199"/>
      <c r="Q199"/>
    </row>
    <row r="200" spans="5:17" ht="15.75">
      <c r="E200"/>
      <c r="F200"/>
      <c r="G200"/>
      <c r="H200"/>
      <c r="I200"/>
      <c r="J200"/>
      <c r="K200"/>
      <c r="L200"/>
      <c r="M200"/>
      <c r="N200"/>
      <c r="O200"/>
      <c r="P200"/>
      <c r="Q200"/>
    </row>
    <row r="201" spans="5:17" ht="15.75">
      <c r="E201"/>
      <c r="F201"/>
      <c r="G201"/>
      <c r="H201"/>
      <c r="I201"/>
      <c r="J201"/>
      <c r="K201"/>
      <c r="L201"/>
      <c r="M201"/>
      <c r="N201"/>
      <c r="O201"/>
      <c r="P201"/>
      <c r="Q201"/>
    </row>
    <row r="202" spans="5:17" ht="15.75">
      <c r="E202"/>
      <c r="F202"/>
      <c r="G202"/>
      <c r="H202"/>
      <c r="I202"/>
      <c r="J202"/>
      <c r="K202"/>
      <c r="L202"/>
      <c r="M202"/>
      <c r="N202"/>
      <c r="O202"/>
      <c r="P202"/>
      <c r="Q202"/>
    </row>
    <row r="203" spans="5:17" ht="15.75">
      <c r="E203"/>
      <c r="F203"/>
      <c r="G203"/>
      <c r="H203"/>
      <c r="I203"/>
      <c r="J203"/>
      <c r="K203"/>
      <c r="L203"/>
      <c r="M203"/>
      <c r="N203"/>
      <c r="O203"/>
      <c r="P203"/>
      <c r="Q203"/>
    </row>
    <row r="204" spans="5:17" ht="15.75">
      <c r="E204"/>
      <c r="F204"/>
      <c r="G204"/>
      <c r="H204"/>
      <c r="I204"/>
      <c r="J204"/>
      <c r="K204"/>
      <c r="L204"/>
      <c r="M204"/>
      <c r="N204"/>
      <c r="O204"/>
      <c r="P204"/>
      <c r="Q204"/>
    </row>
    <row r="205" spans="5:17" ht="15.75">
      <c r="E205"/>
      <c r="F205"/>
      <c r="G205"/>
      <c r="H205"/>
      <c r="I205"/>
      <c r="J205"/>
      <c r="K205"/>
      <c r="L205"/>
      <c r="M205"/>
      <c r="N205"/>
      <c r="O205"/>
      <c r="P205"/>
      <c r="Q205"/>
    </row>
    <row r="206" spans="5:17" ht="15.75">
      <c r="E206"/>
      <c r="F206"/>
      <c r="G206"/>
      <c r="H206"/>
      <c r="I206"/>
      <c r="J206"/>
      <c r="K206"/>
      <c r="L206"/>
      <c r="M206"/>
      <c r="N206"/>
      <c r="O206"/>
      <c r="P206"/>
      <c r="Q206"/>
    </row>
    <row r="207" spans="5:17" ht="15.75">
      <c r="E207"/>
      <c r="F207"/>
      <c r="G207"/>
      <c r="H207"/>
      <c r="I207"/>
      <c r="J207"/>
      <c r="K207"/>
      <c r="L207"/>
      <c r="M207"/>
      <c r="N207"/>
      <c r="O207"/>
      <c r="P207"/>
      <c r="Q207"/>
    </row>
    <row r="208" spans="5:17" ht="15.75">
      <c r="E208"/>
      <c r="F208"/>
      <c r="G208"/>
      <c r="H208"/>
      <c r="I208"/>
      <c r="J208"/>
      <c r="K208"/>
      <c r="L208"/>
      <c r="M208"/>
      <c r="N208"/>
      <c r="O208"/>
      <c r="P208"/>
      <c r="Q208"/>
    </row>
    <row r="209" spans="5:17" ht="15.75">
      <c r="E209"/>
      <c r="F209"/>
      <c r="G209"/>
      <c r="H209"/>
      <c r="I209"/>
      <c r="J209"/>
      <c r="K209"/>
      <c r="L209"/>
      <c r="M209"/>
      <c r="N209"/>
      <c r="O209"/>
      <c r="P209"/>
      <c r="Q209"/>
    </row>
    <row r="210" spans="5:17" ht="15.75">
      <c r="E210"/>
      <c r="F210"/>
      <c r="G210"/>
      <c r="H210"/>
      <c r="I210"/>
      <c r="J210"/>
      <c r="K210"/>
      <c r="L210"/>
      <c r="M210"/>
      <c r="N210"/>
      <c r="O210"/>
      <c r="P210"/>
      <c r="Q210"/>
    </row>
    <row r="211" spans="5:17" ht="15.75">
      <c r="E211"/>
      <c r="F211"/>
      <c r="G211"/>
      <c r="H211"/>
      <c r="I211"/>
      <c r="J211"/>
      <c r="K211"/>
      <c r="L211"/>
      <c r="M211"/>
      <c r="N211"/>
      <c r="O211"/>
      <c r="P211"/>
      <c r="Q211"/>
    </row>
    <row r="212" spans="5:17" ht="15.75">
      <c r="E212"/>
      <c r="F212"/>
      <c r="G212"/>
      <c r="H212"/>
      <c r="I212"/>
      <c r="J212"/>
      <c r="K212"/>
      <c r="L212"/>
      <c r="M212"/>
      <c r="N212"/>
      <c r="O212"/>
      <c r="P212"/>
      <c r="Q212"/>
    </row>
    <row r="213" spans="5:17" ht="15.75">
      <c r="E213"/>
      <c r="F213"/>
      <c r="G213"/>
      <c r="H213"/>
      <c r="I213"/>
      <c r="J213"/>
      <c r="K213"/>
      <c r="L213"/>
      <c r="M213"/>
      <c r="N213"/>
      <c r="O213"/>
      <c r="P213"/>
      <c r="Q213"/>
    </row>
    <row r="214" spans="5:17" ht="15.75">
      <c r="E214"/>
      <c r="F214"/>
      <c r="G214"/>
      <c r="H214"/>
      <c r="I214"/>
      <c r="J214"/>
      <c r="K214"/>
      <c r="L214"/>
      <c r="M214"/>
      <c r="N214"/>
      <c r="O214"/>
      <c r="P214"/>
      <c r="Q214"/>
    </row>
    <row r="215" spans="5:17" ht="15.75">
      <c r="E215"/>
      <c r="F215"/>
      <c r="G215"/>
      <c r="H215"/>
      <c r="I215"/>
      <c r="J215"/>
      <c r="K215"/>
      <c r="L215"/>
      <c r="M215"/>
      <c r="N215"/>
      <c r="O215"/>
      <c r="P215"/>
      <c r="Q215"/>
    </row>
    <row r="216" spans="5:17" ht="15.75">
      <c r="E216"/>
      <c r="F216"/>
      <c r="G216"/>
      <c r="H216"/>
      <c r="I216"/>
      <c r="J216"/>
      <c r="K216"/>
      <c r="L216"/>
      <c r="M216"/>
      <c r="N216"/>
      <c r="O216"/>
      <c r="P216"/>
      <c r="Q216"/>
    </row>
    <row r="217" spans="5:17" ht="15.75">
      <c r="E217"/>
      <c r="F217"/>
      <c r="G217"/>
      <c r="H217"/>
      <c r="I217"/>
      <c r="J217"/>
      <c r="K217"/>
      <c r="L217"/>
      <c r="M217"/>
      <c r="N217"/>
      <c r="O217"/>
      <c r="P217"/>
      <c r="Q217"/>
    </row>
    <row r="218" spans="5:17" ht="15.75">
      <c r="E218"/>
      <c r="F218"/>
      <c r="G218"/>
      <c r="H218"/>
      <c r="I218"/>
      <c r="J218"/>
      <c r="K218"/>
      <c r="L218"/>
      <c r="M218"/>
      <c r="N218"/>
      <c r="O218"/>
      <c r="P218"/>
      <c r="Q218"/>
    </row>
    <row r="219" spans="5:17" ht="15.75">
      <c r="E219"/>
      <c r="F219"/>
      <c r="G219"/>
      <c r="H219"/>
      <c r="I219"/>
      <c r="J219"/>
      <c r="K219"/>
      <c r="L219"/>
      <c r="M219"/>
      <c r="N219"/>
      <c r="O219"/>
      <c r="P219"/>
      <c r="Q219"/>
    </row>
    <row r="220" spans="5:17" ht="15.75">
      <c r="E220"/>
      <c r="F220"/>
      <c r="G220"/>
      <c r="H220"/>
      <c r="I220"/>
      <c r="J220"/>
      <c r="K220"/>
      <c r="L220"/>
      <c r="M220"/>
      <c r="N220"/>
      <c r="O220"/>
      <c r="P220"/>
      <c r="Q220"/>
    </row>
    <row r="221" spans="5:17" ht="15.75">
      <c r="E221"/>
      <c r="F221"/>
      <c r="G221"/>
      <c r="H221"/>
      <c r="I221"/>
      <c r="J221"/>
      <c r="K221"/>
      <c r="L221"/>
      <c r="M221"/>
      <c r="N221"/>
      <c r="O221"/>
      <c r="P221"/>
      <c r="Q221"/>
    </row>
    <row r="222" spans="5:17" ht="15.75">
      <c r="E222"/>
      <c r="F222"/>
      <c r="G222"/>
      <c r="H222"/>
      <c r="I222"/>
      <c r="J222"/>
      <c r="K222"/>
      <c r="L222"/>
      <c r="M222"/>
      <c r="N222"/>
      <c r="O222"/>
      <c r="P222"/>
      <c r="Q222"/>
    </row>
    <row r="223" spans="5:17" ht="15.75">
      <c r="E223"/>
      <c r="F223"/>
      <c r="G223"/>
      <c r="H223"/>
      <c r="I223"/>
      <c r="J223"/>
      <c r="K223"/>
      <c r="L223"/>
      <c r="M223"/>
      <c r="N223"/>
      <c r="O223"/>
      <c r="P223"/>
      <c r="Q223"/>
    </row>
    <row r="224" spans="5:17" ht="15.75">
      <c r="E224"/>
      <c r="F224"/>
      <c r="G224"/>
      <c r="H224"/>
      <c r="I224"/>
      <c r="J224"/>
      <c r="K224"/>
      <c r="L224"/>
      <c r="M224"/>
      <c r="N224"/>
      <c r="O224"/>
      <c r="P224"/>
      <c r="Q224"/>
    </row>
    <row r="225" spans="5:17" ht="15.75">
      <c r="E225"/>
      <c r="F225"/>
      <c r="G225"/>
      <c r="H225"/>
      <c r="I225"/>
      <c r="J225"/>
      <c r="K225"/>
      <c r="L225"/>
      <c r="M225"/>
      <c r="N225"/>
      <c r="O225"/>
      <c r="P225"/>
      <c r="Q225"/>
    </row>
    <row r="226" spans="5:17" ht="15.75">
      <c r="E226"/>
      <c r="F226"/>
      <c r="G226"/>
      <c r="H226"/>
      <c r="I226"/>
      <c r="J226"/>
      <c r="K226"/>
      <c r="L226"/>
      <c r="M226"/>
      <c r="N226"/>
      <c r="O226"/>
      <c r="P226"/>
      <c r="Q226"/>
    </row>
    <row r="227" spans="5:17" ht="15.75">
      <c r="E227"/>
      <c r="F227"/>
      <c r="G227"/>
      <c r="H227"/>
      <c r="I227"/>
      <c r="J227"/>
      <c r="K227"/>
      <c r="L227"/>
      <c r="M227"/>
      <c r="N227"/>
      <c r="O227"/>
      <c r="P227"/>
      <c r="Q227"/>
    </row>
    <row r="228" spans="5:17" ht="15.75">
      <c r="E228"/>
      <c r="F228"/>
      <c r="G228"/>
      <c r="H228"/>
      <c r="I228"/>
      <c r="J228"/>
      <c r="K228"/>
      <c r="L228"/>
      <c r="M228"/>
      <c r="N228"/>
      <c r="O228"/>
      <c r="P228"/>
      <c r="Q228"/>
    </row>
    <row r="229" spans="5:17" ht="15.75">
      <c r="E229"/>
      <c r="F229"/>
      <c r="G229"/>
      <c r="H229"/>
      <c r="I229"/>
      <c r="J229"/>
      <c r="K229"/>
      <c r="L229"/>
      <c r="M229"/>
      <c r="N229"/>
      <c r="O229"/>
      <c r="P229"/>
      <c r="Q229"/>
    </row>
    <row r="230" spans="5:17" ht="15.75">
      <c r="E230"/>
      <c r="F230"/>
      <c r="G230"/>
      <c r="H230"/>
      <c r="I230"/>
      <c r="J230"/>
      <c r="K230"/>
      <c r="L230"/>
      <c r="M230"/>
      <c r="N230"/>
      <c r="O230"/>
      <c r="P230"/>
      <c r="Q230"/>
    </row>
    <row r="231" spans="5:17" ht="15.75">
      <c r="E231"/>
      <c r="F231"/>
      <c r="G231"/>
      <c r="H231"/>
      <c r="I231"/>
      <c r="J231"/>
      <c r="K231"/>
      <c r="L231"/>
      <c r="M231"/>
      <c r="N231"/>
      <c r="O231"/>
      <c r="P231"/>
      <c r="Q231"/>
    </row>
    <row r="232" spans="5:17" ht="15.75">
      <c r="E232"/>
      <c r="F232"/>
      <c r="G232"/>
      <c r="H232"/>
      <c r="I232"/>
      <c r="J232"/>
      <c r="K232"/>
      <c r="L232"/>
      <c r="M232"/>
      <c r="N232"/>
      <c r="O232"/>
      <c r="P232"/>
      <c r="Q232"/>
    </row>
    <row r="233" spans="5:17" ht="15.75">
      <c r="E233"/>
      <c r="F233"/>
      <c r="G233"/>
      <c r="H233"/>
      <c r="I233"/>
      <c r="J233"/>
      <c r="K233"/>
      <c r="L233"/>
      <c r="M233"/>
      <c r="N233"/>
      <c r="O233"/>
      <c r="P233"/>
      <c r="Q233"/>
    </row>
    <row r="234" spans="5:17" ht="15.75">
      <c r="E234"/>
      <c r="F234"/>
      <c r="G234"/>
      <c r="H234"/>
      <c r="I234"/>
      <c r="J234"/>
      <c r="K234"/>
      <c r="L234"/>
      <c r="M234"/>
      <c r="N234"/>
      <c r="O234"/>
      <c r="P234"/>
      <c r="Q234"/>
    </row>
    <row r="235" spans="5:17" ht="15.75">
      <c r="E235"/>
      <c r="F235"/>
      <c r="G235"/>
      <c r="H235"/>
      <c r="I235"/>
      <c r="J235"/>
      <c r="K235"/>
      <c r="L235"/>
      <c r="M235"/>
      <c r="N235"/>
      <c r="O235"/>
      <c r="P235"/>
      <c r="Q235"/>
    </row>
    <row r="236" spans="5:17" ht="15.75">
      <c r="E236"/>
      <c r="F236"/>
      <c r="G236"/>
      <c r="H236"/>
      <c r="I236"/>
      <c r="J236"/>
      <c r="K236"/>
      <c r="L236"/>
      <c r="M236"/>
      <c r="N236"/>
      <c r="O236"/>
      <c r="P236"/>
      <c r="Q236"/>
    </row>
    <row r="237" spans="5:17" ht="15.75">
      <c r="E237"/>
      <c r="F237"/>
      <c r="G237"/>
      <c r="H237"/>
      <c r="I237"/>
      <c r="J237"/>
      <c r="K237"/>
      <c r="L237"/>
      <c r="M237"/>
      <c r="N237"/>
      <c r="O237"/>
      <c r="P237"/>
      <c r="Q237"/>
    </row>
    <row r="238" spans="5:17" ht="15.75">
      <c r="E238"/>
      <c r="F238"/>
      <c r="G238"/>
      <c r="H238"/>
      <c r="I238"/>
      <c r="J238"/>
      <c r="K238"/>
      <c r="L238"/>
      <c r="M238"/>
      <c r="N238"/>
      <c r="O238"/>
      <c r="P238"/>
      <c r="Q238"/>
    </row>
    <row r="239" spans="5:17" ht="15.75">
      <c r="E239"/>
      <c r="F239"/>
      <c r="G239"/>
      <c r="H239"/>
      <c r="I239"/>
      <c r="J239"/>
      <c r="K239"/>
      <c r="L239"/>
      <c r="M239"/>
      <c r="N239"/>
      <c r="O239"/>
      <c r="P239"/>
      <c r="Q239"/>
    </row>
    <row r="240" spans="5:17" ht="15.75">
      <c r="E240"/>
      <c r="F240"/>
      <c r="G240"/>
      <c r="H240"/>
      <c r="I240"/>
      <c r="J240"/>
      <c r="K240"/>
      <c r="L240"/>
      <c r="M240"/>
      <c r="N240"/>
      <c r="O240"/>
      <c r="P240"/>
      <c r="Q240"/>
    </row>
    <row r="241" spans="5:17" ht="15.75">
      <c r="E241"/>
      <c r="F241"/>
      <c r="G241"/>
      <c r="H241"/>
      <c r="I241"/>
      <c r="J241"/>
      <c r="K241"/>
      <c r="L241"/>
      <c r="M241"/>
      <c r="N241"/>
      <c r="O241"/>
      <c r="P241"/>
      <c r="Q241"/>
    </row>
    <row r="242" spans="5:17" ht="15.75">
      <c r="E242"/>
      <c r="F242"/>
      <c r="G242"/>
      <c r="H242"/>
      <c r="I242"/>
      <c r="J242"/>
      <c r="K242"/>
      <c r="L242"/>
      <c r="M242"/>
      <c r="N242"/>
      <c r="O242"/>
      <c r="P242"/>
      <c r="Q242"/>
    </row>
    <row r="243" spans="5:17" ht="15.75">
      <c r="E243"/>
      <c r="F243"/>
      <c r="G243"/>
      <c r="H243"/>
      <c r="I243"/>
      <c r="J243"/>
      <c r="K243"/>
      <c r="L243"/>
      <c r="M243"/>
      <c r="N243"/>
      <c r="O243"/>
      <c r="P243"/>
      <c r="Q243"/>
    </row>
    <row r="244" spans="5:17" ht="15.75">
      <c r="E244"/>
      <c r="F244"/>
      <c r="G244"/>
      <c r="H244"/>
      <c r="I244"/>
      <c r="J244"/>
      <c r="K244"/>
      <c r="L244"/>
      <c r="M244"/>
      <c r="N244"/>
      <c r="O244"/>
      <c r="P244"/>
      <c r="Q244"/>
    </row>
    <row r="245" spans="5:17" ht="15.75">
      <c r="E245"/>
      <c r="F245"/>
      <c r="G245"/>
      <c r="H245"/>
      <c r="I245"/>
      <c r="J245"/>
      <c r="K245"/>
      <c r="L245"/>
      <c r="M245"/>
      <c r="N245"/>
      <c r="O245"/>
      <c r="P245"/>
      <c r="Q245"/>
    </row>
    <row r="246" spans="5:17" ht="15.75">
      <c r="E246"/>
      <c r="F246"/>
      <c r="G246"/>
      <c r="H246"/>
      <c r="I246"/>
      <c r="J246"/>
      <c r="K246"/>
      <c r="L246"/>
      <c r="M246"/>
      <c r="N246"/>
      <c r="O246"/>
      <c r="P246"/>
      <c r="Q246"/>
    </row>
    <row r="247" spans="5:17" ht="15.75">
      <c r="E247"/>
      <c r="F247"/>
      <c r="G247"/>
      <c r="H247"/>
      <c r="I247"/>
      <c r="J247"/>
      <c r="K247"/>
      <c r="L247"/>
      <c r="M247"/>
      <c r="N247"/>
      <c r="O247"/>
      <c r="P247"/>
      <c r="Q247"/>
    </row>
    <row r="248" spans="5:17" ht="15.75">
      <c r="E248"/>
      <c r="F248"/>
      <c r="G248"/>
      <c r="H248"/>
      <c r="I248"/>
      <c r="J248"/>
      <c r="K248"/>
      <c r="L248"/>
      <c r="M248"/>
      <c r="N248"/>
      <c r="O248"/>
      <c r="P248"/>
      <c r="Q248"/>
    </row>
    <row r="249" spans="5:17" ht="15.75">
      <c r="E249"/>
      <c r="F249"/>
      <c r="G249"/>
      <c r="H249"/>
      <c r="I249"/>
      <c r="J249"/>
      <c r="K249"/>
      <c r="L249"/>
      <c r="M249"/>
      <c r="N249"/>
      <c r="O249"/>
      <c r="P249"/>
      <c r="Q249"/>
    </row>
    <row r="250" spans="5:17" ht="15.75">
      <c r="E250"/>
      <c r="F250"/>
      <c r="G250"/>
      <c r="H250"/>
      <c r="I250"/>
      <c r="J250"/>
      <c r="K250"/>
      <c r="L250"/>
      <c r="M250"/>
      <c r="N250"/>
      <c r="O250"/>
      <c r="P250"/>
      <c r="Q250"/>
    </row>
    <row r="251" spans="5:17" ht="15.75">
      <c r="E251"/>
      <c r="F251"/>
      <c r="G251"/>
      <c r="H251"/>
      <c r="I251"/>
      <c r="J251"/>
      <c r="K251"/>
      <c r="L251"/>
      <c r="M251"/>
      <c r="N251"/>
      <c r="O251"/>
      <c r="P251"/>
      <c r="Q251"/>
    </row>
    <row r="252" spans="5:17" ht="15.75">
      <c r="E252"/>
      <c r="F252"/>
      <c r="G252"/>
      <c r="H252"/>
      <c r="I252"/>
      <c r="J252"/>
      <c r="K252"/>
      <c r="L252"/>
      <c r="M252"/>
      <c r="N252"/>
      <c r="O252"/>
      <c r="P252"/>
      <c r="Q252"/>
    </row>
    <row r="253" spans="5:17" ht="15.75">
      <c r="E253"/>
      <c r="F253"/>
      <c r="G253"/>
      <c r="H253"/>
      <c r="I253"/>
      <c r="J253"/>
      <c r="K253"/>
      <c r="L253"/>
      <c r="M253"/>
      <c r="N253"/>
      <c r="O253"/>
      <c r="P253"/>
      <c r="Q253"/>
    </row>
    <row r="254" spans="5:17" ht="15.75">
      <c r="E254"/>
      <c r="F254"/>
      <c r="G254"/>
      <c r="H254"/>
      <c r="I254"/>
      <c r="J254"/>
      <c r="K254"/>
      <c r="L254"/>
      <c r="M254"/>
      <c r="N254"/>
      <c r="O254"/>
      <c r="P254"/>
      <c r="Q254"/>
    </row>
    <row r="255" spans="5:17" ht="15.75">
      <c r="E255"/>
      <c r="F255"/>
      <c r="G255"/>
      <c r="H255"/>
      <c r="I255"/>
      <c r="J255"/>
      <c r="K255"/>
      <c r="L255"/>
      <c r="M255"/>
      <c r="N255"/>
      <c r="O255"/>
      <c r="P255"/>
      <c r="Q255"/>
    </row>
    <row r="256" spans="5:17" ht="15.75">
      <c r="E256"/>
      <c r="F256"/>
      <c r="G256"/>
      <c r="H256"/>
      <c r="I256"/>
      <c r="J256"/>
      <c r="K256"/>
      <c r="L256"/>
      <c r="M256"/>
      <c r="N256"/>
      <c r="O256"/>
      <c r="P256"/>
      <c r="Q256"/>
    </row>
    <row r="257" spans="5:17" ht="15.75">
      <c r="E257"/>
      <c r="F257"/>
      <c r="G257"/>
      <c r="H257"/>
      <c r="I257"/>
      <c r="J257"/>
      <c r="K257"/>
      <c r="L257"/>
      <c r="M257"/>
      <c r="N257"/>
      <c r="O257"/>
      <c r="P257"/>
      <c r="Q257"/>
    </row>
    <row r="258" spans="5:17" ht="15.75">
      <c r="E258"/>
      <c r="F258"/>
      <c r="G258"/>
      <c r="H258"/>
      <c r="I258"/>
      <c r="J258"/>
      <c r="K258"/>
      <c r="L258"/>
      <c r="M258"/>
      <c r="N258"/>
      <c r="O258"/>
      <c r="P258"/>
      <c r="Q258"/>
    </row>
    <row r="259" spans="5:17" ht="15.75">
      <c r="E259"/>
      <c r="F259"/>
      <c r="G259"/>
      <c r="H259"/>
      <c r="I259"/>
      <c r="J259"/>
      <c r="K259"/>
      <c r="L259"/>
      <c r="M259"/>
      <c r="N259"/>
      <c r="O259"/>
      <c r="P259"/>
      <c r="Q259"/>
    </row>
    <row r="260" spans="5:17" ht="15.75">
      <c r="E260"/>
      <c r="F260"/>
      <c r="G260"/>
      <c r="H260"/>
      <c r="I260"/>
      <c r="J260"/>
      <c r="K260"/>
      <c r="L260"/>
      <c r="M260"/>
      <c r="N260"/>
      <c r="O260"/>
      <c r="P260"/>
      <c r="Q260"/>
    </row>
    <row r="261" spans="5:17" ht="15.75">
      <c r="E261"/>
      <c r="F261"/>
      <c r="G261"/>
      <c r="H261"/>
      <c r="I261"/>
      <c r="J261"/>
      <c r="K261"/>
      <c r="L261"/>
      <c r="M261"/>
      <c r="N261"/>
      <c r="O261"/>
      <c r="P261"/>
      <c r="Q261"/>
    </row>
    <row r="262" spans="5:17" ht="15.75">
      <c r="E262"/>
      <c r="F262"/>
      <c r="G262"/>
      <c r="H262"/>
      <c r="I262"/>
      <c r="J262"/>
      <c r="K262"/>
      <c r="L262"/>
      <c r="M262"/>
      <c r="N262"/>
      <c r="O262"/>
      <c r="P262"/>
      <c r="Q262"/>
    </row>
    <row r="263" spans="5:17" ht="15.75">
      <c r="E263"/>
      <c r="F263"/>
      <c r="G263"/>
      <c r="H263"/>
      <c r="I263"/>
      <c r="J263"/>
      <c r="K263"/>
      <c r="L263"/>
      <c r="M263"/>
      <c r="N263"/>
      <c r="O263"/>
      <c r="P263"/>
      <c r="Q263"/>
    </row>
    <row r="264" spans="5:17" ht="15.75">
      <c r="E264"/>
      <c r="F264"/>
      <c r="G264"/>
      <c r="H264"/>
      <c r="I264"/>
      <c r="J264"/>
      <c r="K264"/>
      <c r="L264"/>
      <c r="M264"/>
      <c r="N264"/>
      <c r="O264"/>
      <c r="P264"/>
      <c r="Q264"/>
    </row>
    <row r="265" spans="5:17" ht="15.75">
      <c r="E265"/>
      <c r="F265"/>
      <c r="G265"/>
      <c r="H265"/>
      <c r="I265"/>
      <c r="J265"/>
      <c r="K265"/>
      <c r="L265"/>
      <c r="M265"/>
      <c r="N265"/>
      <c r="O265"/>
      <c r="P265"/>
      <c r="Q265"/>
    </row>
    <row r="266" spans="5:17" ht="15.75">
      <c r="E266"/>
      <c r="F266"/>
      <c r="G266"/>
      <c r="H266"/>
      <c r="I266"/>
      <c r="J266"/>
      <c r="K266"/>
      <c r="L266"/>
      <c r="M266"/>
      <c r="N266"/>
      <c r="O266"/>
      <c r="P266"/>
      <c r="Q266"/>
    </row>
    <row r="267" spans="5:17" ht="15.75">
      <c r="E267"/>
      <c r="F267"/>
      <c r="G267"/>
      <c r="H267"/>
      <c r="I267"/>
      <c r="J267"/>
      <c r="K267"/>
      <c r="L267"/>
      <c r="M267"/>
      <c r="N267"/>
      <c r="O267"/>
      <c r="P267"/>
      <c r="Q267"/>
    </row>
    <row r="268" spans="5:17" ht="15.75">
      <c r="E268"/>
      <c r="F268"/>
      <c r="G268"/>
      <c r="H268"/>
      <c r="I268"/>
      <c r="J268"/>
      <c r="K268"/>
      <c r="L268"/>
      <c r="M268"/>
      <c r="N268"/>
      <c r="O268"/>
      <c r="P268"/>
      <c r="Q268"/>
    </row>
    <row r="269" spans="5:17" ht="15.75">
      <c r="E269"/>
      <c r="F269"/>
      <c r="G269"/>
      <c r="H269"/>
      <c r="I269"/>
      <c r="J269"/>
      <c r="K269"/>
      <c r="L269"/>
      <c r="M269"/>
      <c r="N269"/>
      <c r="O269"/>
      <c r="P269"/>
      <c r="Q269"/>
    </row>
    <row r="270" spans="5:17" ht="15.75">
      <c r="E270"/>
      <c r="F270"/>
      <c r="G270"/>
      <c r="H270"/>
      <c r="I270"/>
      <c r="J270"/>
      <c r="K270"/>
      <c r="L270"/>
      <c r="M270"/>
      <c r="N270"/>
      <c r="O270"/>
      <c r="P270"/>
      <c r="Q270"/>
    </row>
    <row r="271" spans="5:17" ht="15.75">
      <c r="E271"/>
      <c r="F271"/>
      <c r="G271"/>
      <c r="H271"/>
      <c r="I271"/>
      <c r="J271"/>
      <c r="K271"/>
      <c r="L271"/>
      <c r="M271"/>
      <c r="N271"/>
      <c r="O271"/>
      <c r="P271"/>
      <c r="Q271"/>
    </row>
    <row r="272" spans="5:17" ht="15.75">
      <c r="E272"/>
      <c r="F272"/>
      <c r="G272"/>
      <c r="H272"/>
      <c r="I272"/>
      <c r="J272"/>
      <c r="K272"/>
      <c r="L272"/>
      <c r="M272"/>
      <c r="N272"/>
      <c r="O272"/>
      <c r="P272"/>
      <c r="Q272"/>
    </row>
    <row r="273" spans="5:17" ht="15.75">
      <c r="E273"/>
      <c r="F273"/>
      <c r="G273"/>
      <c r="H273"/>
      <c r="I273"/>
      <c r="J273"/>
      <c r="K273"/>
      <c r="L273"/>
      <c r="M273"/>
      <c r="N273"/>
      <c r="O273"/>
      <c r="P273"/>
      <c r="Q273"/>
    </row>
    <row r="274" spans="5:17" ht="15.75">
      <c r="E274"/>
      <c r="F274"/>
      <c r="G274"/>
      <c r="H274"/>
      <c r="I274"/>
      <c r="J274"/>
      <c r="K274"/>
      <c r="L274"/>
      <c r="M274"/>
      <c r="N274"/>
      <c r="O274"/>
      <c r="P274"/>
      <c r="Q274"/>
    </row>
    <row r="275" spans="5:17" ht="15.75">
      <c r="E275"/>
      <c r="F275"/>
      <c r="G275"/>
      <c r="H275"/>
      <c r="I275"/>
      <c r="J275"/>
      <c r="K275"/>
      <c r="L275"/>
      <c r="M275"/>
      <c r="N275"/>
      <c r="O275"/>
      <c r="P275"/>
      <c r="Q275"/>
    </row>
    <row r="276" spans="5:17" ht="15.75">
      <c r="E276"/>
      <c r="F276"/>
      <c r="G276"/>
      <c r="H276"/>
      <c r="I276"/>
      <c r="J276"/>
      <c r="K276"/>
      <c r="L276"/>
      <c r="M276"/>
      <c r="N276"/>
      <c r="O276"/>
      <c r="P276"/>
      <c r="Q276"/>
    </row>
    <row r="277" spans="5:17" ht="15.75">
      <c r="E277"/>
      <c r="F277"/>
      <c r="G277"/>
      <c r="H277"/>
      <c r="I277"/>
      <c r="J277"/>
      <c r="K277"/>
      <c r="L277"/>
      <c r="M277"/>
      <c r="N277"/>
      <c r="O277"/>
      <c r="P277"/>
      <c r="Q277"/>
    </row>
    <row r="278" spans="5:17" ht="15.75">
      <c r="E278"/>
      <c r="F278"/>
      <c r="G278"/>
      <c r="H278"/>
      <c r="I278"/>
      <c r="J278"/>
      <c r="K278"/>
      <c r="L278"/>
      <c r="M278"/>
      <c r="N278"/>
      <c r="O278"/>
      <c r="P278"/>
      <c r="Q278"/>
    </row>
    <row r="279" spans="5:17" ht="15.75">
      <c r="E279"/>
      <c r="F279"/>
      <c r="G279"/>
      <c r="H279"/>
      <c r="I279"/>
      <c r="J279"/>
      <c r="K279"/>
      <c r="L279"/>
      <c r="M279"/>
      <c r="N279"/>
      <c r="O279"/>
      <c r="P279"/>
      <c r="Q279"/>
    </row>
    <row r="280" spans="5:17" ht="15.75">
      <c r="E280"/>
      <c r="F280"/>
      <c r="G280"/>
      <c r="H280"/>
      <c r="I280"/>
      <c r="J280"/>
      <c r="K280"/>
      <c r="L280"/>
      <c r="M280"/>
      <c r="N280"/>
      <c r="O280"/>
      <c r="P280"/>
      <c r="Q280"/>
    </row>
    <row r="281" spans="5:17" ht="15.75">
      <c r="E281"/>
      <c r="F281"/>
      <c r="G281"/>
      <c r="H281"/>
      <c r="I281"/>
      <c r="J281"/>
      <c r="K281"/>
      <c r="L281"/>
      <c r="M281"/>
      <c r="N281"/>
      <c r="O281"/>
      <c r="P281"/>
      <c r="Q281"/>
    </row>
    <row r="282" spans="5:17" ht="15.75">
      <c r="E282"/>
      <c r="F282"/>
      <c r="G282"/>
      <c r="H282"/>
      <c r="I282"/>
      <c r="J282"/>
      <c r="K282"/>
      <c r="L282"/>
      <c r="M282"/>
      <c r="N282"/>
      <c r="O282"/>
      <c r="P282"/>
      <c r="Q282"/>
    </row>
    <row r="283" spans="5:17" ht="15.75">
      <c r="E283"/>
      <c r="F283"/>
      <c r="G283"/>
      <c r="H283"/>
      <c r="I283"/>
      <c r="J283"/>
      <c r="K283"/>
      <c r="L283"/>
      <c r="M283"/>
      <c r="N283"/>
      <c r="O283"/>
      <c r="P283"/>
      <c r="Q283"/>
    </row>
    <row r="284" spans="5:17" ht="15.75">
      <c r="E284"/>
      <c r="F284"/>
      <c r="G284"/>
      <c r="H284"/>
      <c r="I284"/>
      <c r="J284"/>
      <c r="K284"/>
      <c r="L284"/>
      <c r="M284"/>
      <c r="N284"/>
      <c r="O284"/>
      <c r="P284"/>
      <c r="Q284"/>
    </row>
    <row r="285" spans="5:17" ht="15.75">
      <c r="E285"/>
      <c r="F285"/>
      <c r="G285"/>
      <c r="H285"/>
      <c r="I285"/>
      <c r="J285"/>
      <c r="K285"/>
      <c r="L285"/>
      <c r="M285"/>
      <c r="N285"/>
      <c r="O285"/>
      <c r="P285"/>
      <c r="Q285"/>
    </row>
    <row r="286" spans="5:17" ht="15.75">
      <c r="E286"/>
      <c r="F286"/>
      <c r="G286"/>
      <c r="H286"/>
      <c r="I286"/>
      <c r="J286"/>
      <c r="K286"/>
      <c r="L286"/>
      <c r="M286"/>
      <c r="N286"/>
      <c r="O286"/>
      <c r="P286"/>
      <c r="Q286"/>
    </row>
    <row r="287" spans="5:17" ht="15.75">
      <c r="E287"/>
      <c r="F287"/>
      <c r="G287"/>
      <c r="H287"/>
      <c r="I287"/>
      <c r="J287"/>
      <c r="K287"/>
      <c r="L287"/>
      <c r="M287"/>
      <c r="N287"/>
      <c r="O287"/>
      <c r="P287"/>
      <c r="Q287"/>
    </row>
    <row r="288" spans="5:17" ht="15.75">
      <c r="E288"/>
      <c r="F288"/>
      <c r="G288"/>
      <c r="H288"/>
      <c r="I288"/>
      <c r="J288"/>
      <c r="K288"/>
      <c r="L288"/>
      <c r="M288"/>
      <c r="N288"/>
      <c r="O288"/>
      <c r="P288"/>
      <c r="Q288"/>
    </row>
    <row r="289" spans="5:17" ht="15.75">
      <c r="E289"/>
      <c r="F289"/>
      <c r="G289"/>
      <c r="H289"/>
      <c r="I289"/>
      <c r="J289"/>
      <c r="K289"/>
      <c r="L289"/>
      <c r="M289"/>
      <c r="N289"/>
      <c r="O289"/>
      <c r="P289"/>
      <c r="Q289"/>
    </row>
    <row r="290" spans="5:17" ht="15.75">
      <c r="E290"/>
      <c r="F290"/>
      <c r="G290"/>
      <c r="H290"/>
      <c r="I290"/>
      <c r="J290"/>
      <c r="K290"/>
      <c r="L290"/>
      <c r="M290"/>
      <c r="N290"/>
      <c r="O290"/>
      <c r="P290"/>
      <c r="Q290"/>
    </row>
    <row r="291" spans="5:17" ht="15.75">
      <c r="E291"/>
      <c r="F291"/>
      <c r="G291"/>
      <c r="H291"/>
      <c r="I291"/>
      <c r="J291"/>
      <c r="K291"/>
      <c r="L291"/>
      <c r="M291"/>
      <c r="N291"/>
      <c r="O291"/>
      <c r="P291"/>
      <c r="Q291"/>
    </row>
    <row r="292" spans="5:17" ht="15.75">
      <c r="E292"/>
      <c r="F292"/>
      <c r="G292"/>
      <c r="H292"/>
      <c r="I292"/>
      <c r="J292"/>
      <c r="K292"/>
      <c r="L292"/>
      <c r="M292"/>
      <c r="N292"/>
      <c r="O292"/>
      <c r="P292"/>
      <c r="Q292"/>
    </row>
    <row r="293" spans="5:17" ht="15.75">
      <c r="E293"/>
      <c r="F293"/>
      <c r="G293"/>
      <c r="H293"/>
      <c r="I293"/>
      <c r="J293"/>
      <c r="K293"/>
      <c r="L293"/>
      <c r="M293"/>
      <c r="N293"/>
      <c r="O293"/>
      <c r="P293"/>
      <c r="Q293"/>
    </row>
    <row r="294" spans="5:17" ht="15.75">
      <c r="E294"/>
      <c r="F294"/>
      <c r="G294"/>
      <c r="H294"/>
      <c r="I294"/>
      <c r="J294"/>
      <c r="K294"/>
      <c r="L294"/>
      <c r="M294"/>
      <c r="N294"/>
      <c r="O294"/>
      <c r="P294"/>
      <c r="Q294"/>
    </row>
    <row r="295" spans="5:17" ht="15.75">
      <c r="E295"/>
      <c r="F295"/>
      <c r="G295"/>
      <c r="H295"/>
      <c r="I295"/>
      <c r="J295"/>
      <c r="K295"/>
      <c r="L295"/>
      <c r="M295"/>
      <c r="N295"/>
      <c r="O295"/>
      <c r="P295"/>
      <c r="Q295"/>
    </row>
    <row r="296" spans="5:17" ht="15.75">
      <c r="E296"/>
      <c r="F296"/>
      <c r="G296"/>
      <c r="H296"/>
      <c r="I296"/>
      <c r="J296"/>
      <c r="K296"/>
      <c r="L296"/>
      <c r="M296"/>
      <c r="N296"/>
      <c r="O296"/>
      <c r="P296"/>
      <c r="Q296"/>
    </row>
    <row r="297" spans="5:17" ht="15.75">
      <c r="E297"/>
      <c r="F297"/>
      <c r="G297"/>
      <c r="H297"/>
      <c r="I297"/>
      <c r="J297"/>
      <c r="K297"/>
      <c r="L297"/>
      <c r="M297"/>
      <c r="N297"/>
      <c r="O297"/>
      <c r="P297"/>
      <c r="Q297"/>
    </row>
    <row r="298" spans="5:17" ht="15.75">
      <c r="E298"/>
      <c r="F298"/>
      <c r="G298"/>
      <c r="H298"/>
      <c r="I298"/>
      <c r="J298"/>
      <c r="K298"/>
      <c r="L298"/>
      <c r="M298"/>
      <c r="N298"/>
      <c r="O298"/>
      <c r="P298"/>
      <c r="Q298"/>
    </row>
    <row r="299" spans="5:17" ht="15.75">
      <c r="E299"/>
      <c r="F299"/>
      <c r="G299"/>
      <c r="H299"/>
      <c r="I299"/>
      <c r="J299"/>
      <c r="K299"/>
      <c r="L299"/>
      <c r="M299"/>
      <c r="N299"/>
      <c r="O299"/>
      <c r="P299"/>
      <c r="Q299"/>
    </row>
    <row r="300" spans="5:17" ht="15.75">
      <c r="E300"/>
      <c r="F300"/>
      <c r="G300"/>
      <c r="H300"/>
      <c r="I300"/>
      <c r="J300"/>
      <c r="K300"/>
      <c r="L300"/>
      <c r="M300"/>
      <c r="N300"/>
      <c r="O300"/>
      <c r="P300"/>
      <c r="Q300"/>
    </row>
    <row r="301" spans="5:17" ht="15.75">
      <c r="E301"/>
      <c r="F301"/>
      <c r="G301"/>
      <c r="H301"/>
      <c r="I301"/>
      <c r="J301"/>
      <c r="K301"/>
      <c r="L301"/>
      <c r="M301"/>
      <c r="N301"/>
      <c r="O301"/>
      <c r="P301"/>
      <c r="Q301"/>
    </row>
    <row r="302" spans="5:17" ht="15.75">
      <c r="E302"/>
      <c r="F302"/>
      <c r="G302"/>
      <c r="H302"/>
      <c r="I302"/>
      <c r="J302"/>
      <c r="K302"/>
      <c r="L302"/>
      <c r="M302"/>
      <c r="N302"/>
      <c r="O302"/>
      <c r="P302"/>
      <c r="Q302"/>
    </row>
    <row r="303" spans="5:17" ht="15.75">
      <c r="E303"/>
      <c r="F303"/>
      <c r="G303"/>
      <c r="H303"/>
      <c r="I303"/>
      <c r="J303"/>
      <c r="K303"/>
      <c r="L303"/>
      <c r="M303"/>
      <c r="N303"/>
      <c r="O303"/>
      <c r="P303"/>
      <c r="Q303"/>
    </row>
    <row r="304" spans="5:17" ht="15.75">
      <c r="E304"/>
      <c r="F304"/>
      <c r="G304"/>
      <c r="H304"/>
      <c r="I304"/>
      <c r="J304"/>
      <c r="K304"/>
      <c r="L304"/>
      <c r="M304"/>
      <c r="N304"/>
      <c r="O304"/>
      <c r="P304"/>
      <c r="Q304"/>
    </row>
    <row r="305" spans="5:17" ht="15.75">
      <c r="E305"/>
      <c r="F305"/>
      <c r="G305"/>
      <c r="H305"/>
      <c r="I305"/>
      <c r="J305"/>
      <c r="K305"/>
      <c r="L305"/>
      <c r="M305"/>
      <c r="N305"/>
      <c r="O305"/>
      <c r="P305"/>
      <c r="Q305"/>
    </row>
    <row r="306" spans="5:17" ht="15.75">
      <c r="E306"/>
      <c r="F306"/>
      <c r="G306"/>
      <c r="H306"/>
      <c r="I306"/>
      <c r="J306"/>
      <c r="K306"/>
      <c r="L306"/>
      <c r="M306"/>
      <c r="N306"/>
      <c r="O306"/>
      <c r="P306"/>
      <c r="Q306"/>
    </row>
    <row r="307" spans="5:17" ht="15.75">
      <c r="E307"/>
      <c r="F307"/>
      <c r="G307"/>
      <c r="H307"/>
      <c r="I307"/>
      <c r="J307"/>
      <c r="K307"/>
      <c r="L307"/>
      <c r="M307"/>
      <c r="N307"/>
      <c r="O307"/>
      <c r="P307"/>
      <c r="Q307"/>
    </row>
    <row r="308" spans="5:17" ht="15.75">
      <c r="E308"/>
      <c r="F308"/>
      <c r="G308"/>
      <c r="H308"/>
      <c r="I308"/>
      <c r="J308"/>
      <c r="K308"/>
      <c r="L308"/>
      <c r="M308"/>
      <c r="N308"/>
      <c r="O308"/>
      <c r="P308"/>
      <c r="Q308"/>
    </row>
    <row r="309" spans="5:17" ht="15.75">
      <c r="E309"/>
      <c r="F309"/>
      <c r="G309"/>
      <c r="H309"/>
      <c r="I309"/>
      <c r="J309"/>
      <c r="K309"/>
      <c r="L309"/>
      <c r="M309"/>
      <c r="N309"/>
      <c r="O309"/>
      <c r="P309"/>
      <c r="Q309"/>
    </row>
    <row r="310" spans="5:17" ht="15.75">
      <c r="E310"/>
      <c r="F310"/>
      <c r="G310"/>
      <c r="H310"/>
      <c r="I310"/>
      <c r="J310"/>
      <c r="K310"/>
      <c r="L310"/>
      <c r="M310"/>
      <c r="N310"/>
      <c r="O310"/>
      <c r="P310"/>
      <c r="Q310"/>
    </row>
    <row r="311" spans="5:17" ht="15.75">
      <c r="E311"/>
      <c r="F311"/>
      <c r="G311"/>
      <c r="H311"/>
      <c r="I311"/>
      <c r="J311"/>
      <c r="K311"/>
      <c r="L311"/>
      <c r="M311"/>
      <c r="N311"/>
      <c r="O311"/>
      <c r="P311"/>
      <c r="Q311"/>
    </row>
    <row r="312" spans="5:17" ht="15.75">
      <c r="E312"/>
      <c r="F312"/>
      <c r="G312"/>
      <c r="H312"/>
      <c r="I312"/>
      <c r="J312"/>
      <c r="K312"/>
      <c r="L312"/>
      <c r="M312"/>
      <c r="N312"/>
      <c r="O312"/>
      <c r="P312"/>
      <c r="Q312"/>
    </row>
    <row r="313" spans="5:17" ht="15.75">
      <c r="E313"/>
      <c r="F313"/>
      <c r="G313"/>
      <c r="H313"/>
      <c r="I313"/>
      <c r="J313"/>
      <c r="K313"/>
      <c r="L313"/>
      <c r="M313"/>
      <c r="N313"/>
      <c r="O313"/>
      <c r="P313"/>
      <c r="Q313"/>
    </row>
    <row r="314" spans="5:17" ht="15.75">
      <c r="E314"/>
      <c r="F314"/>
      <c r="G314"/>
      <c r="H314"/>
      <c r="I314"/>
      <c r="J314"/>
      <c r="K314"/>
      <c r="L314"/>
      <c r="M314"/>
      <c r="N314"/>
      <c r="O314"/>
      <c r="P314"/>
      <c r="Q314"/>
    </row>
    <row r="315" spans="5:17" ht="15.75">
      <c r="E315"/>
      <c r="F315"/>
      <c r="G315"/>
      <c r="H315"/>
      <c r="I315"/>
      <c r="J315"/>
      <c r="K315"/>
      <c r="L315"/>
      <c r="M315"/>
      <c r="N315"/>
      <c r="O315"/>
      <c r="P315"/>
      <c r="Q315"/>
    </row>
    <row r="316" spans="5:17" ht="15.75">
      <c r="E316"/>
      <c r="F316"/>
      <c r="G316"/>
      <c r="H316"/>
      <c r="I316"/>
      <c r="J316"/>
      <c r="K316"/>
      <c r="L316"/>
      <c r="M316"/>
      <c r="N316"/>
      <c r="O316"/>
      <c r="P316"/>
      <c r="Q316"/>
    </row>
    <row r="317" spans="5:17" ht="15.75">
      <c r="E317"/>
      <c r="F317"/>
      <c r="G317"/>
      <c r="H317"/>
      <c r="I317"/>
      <c r="J317"/>
      <c r="K317"/>
      <c r="L317"/>
      <c r="M317"/>
      <c r="N317"/>
      <c r="O317"/>
      <c r="P317"/>
      <c r="Q317"/>
    </row>
    <row r="318" spans="5:17" ht="15.75">
      <c r="E318"/>
      <c r="F318"/>
      <c r="G318"/>
      <c r="H318"/>
      <c r="I318"/>
      <c r="J318"/>
      <c r="K318"/>
      <c r="L318"/>
      <c r="M318"/>
      <c r="N318"/>
      <c r="O318"/>
      <c r="P318"/>
      <c r="Q318"/>
    </row>
    <row r="319" spans="5:17" ht="15.75">
      <c r="E319"/>
      <c r="F319"/>
      <c r="G319"/>
      <c r="H319"/>
      <c r="I319"/>
      <c r="J319"/>
      <c r="K319"/>
      <c r="L319"/>
      <c r="M319"/>
      <c r="N319"/>
      <c r="O319"/>
      <c r="P319"/>
      <c r="Q319"/>
    </row>
    <row r="320" spans="5:17" ht="15.75">
      <c r="E320"/>
      <c r="F320"/>
      <c r="G320"/>
      <c r="H320"/>
      <c r="I320"/>
      <c r="J320"/>
      <c r="K320"/>
      <c r="L320"/>
      <c r="M320"/>
      <c r="N320"/>
      <c r="O320"/>
      <c r="P320"/>
      <c r="Q320"/>
    </row>
    <row r="321" spans="5:17" ht="15.75">
      <c r="E321"/>
      <c r="F321"/>
      <c r="G321"/>
      <c r="H321"/>
      <c r="I321"/>
      <c r="J321"/>
      <c r="K321"/>
      <c r="L321"/>
      <c r="M321"/>
      <c r="N321"/>
      <c r="O321"/>
      <c r="P321"/>
      <c r="Q321"/>
    </row>
    <row r="322" spans="5:17" ht="15.75">
      <c r="E322"/>
      <c r="F322"/>
      <c r="G322"/>
      <c r="H322"/>
      <c r="I322"/>
      <c r="J322"/>
      <c r="K322"/>
      <c r="L322"/>
      <c r="M322"/>
      <c r="N322"/>
      <c r="O322"/>
      <c r="P322"/>
      <c r="Q322"/>
    </row>
    <row r="323" spans="5:17" ht="15.75">
      <c r="E323"/>
      <c r="F323"/>
      <c r="G323"/>
      <c r="H323"/>
      <c r="I323"/>
      <c r="J323"/>
      <c r="K323"/>
      <c r="L323"/>
      <c r="M323"/>
      <c r="N323"/>
      <c r="O323"/>
      <c r="P323"/>
      <c r="Q323"/>
    </row>
    <row r="324" spans="5:17" ht="15.75">
      <c r="E324"/>
      <c r="F324"/>
      <c r="G324"/>
      <c r="H324"/>
      <c r="I324"/>
      <c r="J324"/>
      <c r="K324"/>
      <c r="L324"/>
      <c r="M324"/>
      <c r="N324"/>
      <c r="O324"/>
      <c r="P324"/>
      <c r="Q324"/>
    </row>
    <row r="325" spans="5:17" ht="15.75">
      <c r="E325"/>
      <c r="F325"/>
      <c r="G325"/>
      <c r="H325"/>
      <c r="I325"/>
      <c r="J325"/>
      <c r="K325"/>
      <c r="L325"/>
      <c r="M325"/>
      <c r="N325"/>
      <c r="O325"/>
      <c r="P325"/>
      <c r="Q325"/>
    </row>
    <row r="326" spans="5:17" ht="15.75">
      <c r="E326"/>
      <c r="F326"/>
      <c r="G326"/>
      <c r="H326"/>
      <c r="I326"/>
      <c r="J326"/>
      <c r="K326"/>
      <c r="L326"/>
      <c r="M326"/>
      <c r="N326"/>
      <c r="O326"/>
      <c r="P326"/>
      <c r="Q326"/>
    </row>
    <row r="327" spans="5:17" ht="15.75">
      <c r="E327"/>
      <c r="F327"/>
      <c r="G327"/>
      <c r="H327"/>
      <c r="I327"/>
      <c r="J327"/>
      <c r="K327"/>
      <c r="L327"/>
      <c r="M327"/>
      <c r="N327"/>
      <c r="O327"/>
      <c r="P327"/>
      <c r="Q327"/>
    </row>
    <row r="328" spans="5:17" ht="15.75">
      <c r="E328"/>
      <c r="F328"/>
      <c r="G328"/>
      <c r="H328"/>
      <c r="I328"/>
      <c r="J328"/>
      <c r="K328"/>
      <c r="L328"/>
      <c r="M328"/>
      <c r="N328"/>
      <c r="O328"/>
      <c r="P328"/>
      <c r="Q328"/>
    </row>
    <row r="329" spans="5:17" ht="15.75">
      <c r="E329"/>
      <c r="F329"/>
      <c r="G329"/>
      <c r="H329"/>
      <c r="I329"/>
      <c r="J329"/>
      <c r="K329"/>
      <c r="L329"/>
      <c r="M329"/>
      <c r="N329"/>
      <c r="O329"/>
      <c r="P329"/>
      <c r="Q329"/>
    </row>
  </sheetData>
  <sheetProtection/>
  <mergeCells count="44">
    <mergeCell ref="Y9:Y10"/>
    <mergeCell ref="O8:T8"/>
    <mergeCell ref="F8:H9"/>
    <mergeCell ref="I8:K9"/>
    <mergeCell ref="F10:F13"/>
    <mergeCell ref="G10:H10"/>
    <mergeCell ref="J10:K10"/>
    <mergeCell ref="S11:S13"/>
    <mergeCell ref="M11:M13"/>
    <mergeCell ref="W9:W10"/>
    <mergeCell ref="A2:Q2"/>
    <mergeCell ref="A3:T3"/>
    <mergeCell ref="A4:T4"/>
    <mergeCell ref="A7:B13"/>
    <mergeCell ref="C7:K7"/>
    <mergeCell ref="L7:T7"/>
    <mergeCell ref="C8:E9"/>
    <mergeCell ref="L8:N9"/>
    <mergeCell ref="C10:C13"/>
    <mergeCell ref="D10:E10"/>
    <mergeCell ref="X9:X10"/>
    <mergeCell ref="T11:T13"/>
    <mergeCell ref="I10:I13"/>
    <mergeCell ref="P10:Q10"/>
    <mergeCell ref="R10:R13"/>
    <mergeCell ref="O9:Q9"/>
    <mergeCell ref="R9:T9"/>
    <mergeCell ref="Q11:Q13"/>
    <mergeCell ref="A16:B16"/>
    <mergeCell ref="A42:B42"/>
    <mergeCell ref="S10:T10"/>
    <mergeCell ref="D11:D13"/>
    <mergeCell ref="E11:E13"/>
    <mergeCell ref="G11:G13"/>
    <mergeCell ref="H11:H13"/>
    <mergeCell ref="J11:J13"/>
    <mergeCell ref="K11:K13"/>
    <mergeCell ref="A14:B14"/>
    <mergeCell ref="A15:B15"/>
    <mergeCell ref="N11:N13"/>
    <mergeCell ref="P11:P13"/>
    <mergeCell ref="L10:L13"/>
    <mergeCell ref="M10:N10"/>
    <mergeCell ref="O10:O13"/>
  </mergeCells>
  <printOptions/>
  <pageMargins left="0.25" right="0.25" top="0.25" bottom="0.25" header="0" footer="0"/>
  <pageSetup horizontalDpi="600" verticalDpi="600" orientation="landscape" paperSize="9" scale="90" r:id="rId2"/>
  <drawing r:id="rId1"/>
</worksheet>
</file>

<file path=xl/worksheets/sheet7.xml><?xml version="1.0" encoding="utf-8"?>
<worksheet xmlns="http://schemas.openxmlformats.org/spreadsheetml/2006/main" xmlns:r="http://schemas.openxmlformats.org/officeDocument/2006/relationships">
  <dimension ref="A1:HH138"/>
  <sheetViews>
    <sheetView zoomScale="75" zoomScaleNormal="75" zoomScalePageLayoutView="0" workbookViewId="0" topLeftCell="A4">
      <pane ySplit="5055" topLeftCell="A128" activePane="bottomLeft" state="split"/>
      <selection pane="topLeft" activeCell="K6" sqref="K6:M6"/>
      <selection pane="bottomLeft" activeCell="G116" sqref="G116"/>
    </sheetView>
  </sheetViews>
  <sheetFormatPr defaultColWidth="9.140625" defaultRowHeight="12.75"/>
  <cols>
    <col min="1" max="1" width="3.8515625" style="321" customWidth="1"/>
    <col min="2" max="2" width="17.8515625" style="321" customWidth="1"/>
    <col min="3" max="3" width="12.8515625" style="321" customWidth="1"/>
    <col min="4" max="4" width="12.57421875" style="321" customWidth="1"/>
    <col min="5" max="5" width="11.7109375" style="321" customWidth="1"/>
    <col min="6" max="6" width="15.00390625" style="321" customWidth="1"/>
    <col min="7" max="7" width="8.57421875" style="321" customWidth="1"/>
    <col min="8" max="8" width="9.28125" style="321" customWidth="1"/>
    <col min="9" max="9" width="9.8515625" style="321" customWidth="1"/>
    <col min="10" max="10" width="12.00390625" style="321" customWidth="1"/>
    <col min="11" max="11" width="15.8515625" style="321" customWidth="1"/>
    <col min="12" max="12" width="14.57421875" style="321" customWidth="1"/>
    <col min="13" max="13" width="15.57421875" style="321" customWidth="1"/>
    <col min="14" max="14" width="13.140625" style="321" customWidth="1"/>
    <col min="15" max="15" width="11.28125" style="321" customWidth="1"/>
    <col min="16" max="16" width="13.00390625" style="321" customWidth="1"/>
    <col min="17" max="17" width="11.421875" style="321" customWidth="1"/>
    <col min="18" max="18" width="11.7109375" style="321" customWidth="1"/>
    <col min="19" max="19" width="13.00390625" style="347" customWidth="1"/>
    <col min="20" max="20" width="13.57421875" style="321" customWidth="1"/>
    <col min="21" max="21" width="11.8515625" style="321" customWidth="1"/>
    <col min="22" max="26" width="9.140625" style="322" customWidth="1"/>
    <col min="27" max="16384" width="9.140625" style="321" customWidth="1"/>
  </cols>
  <sheetData>
    <row r="1" spans="1:19" ht="33.75" customHeight="1">
      <c r="A1" s="215" t="s">
        <v>318</v>
      </c>
      <c r="B1" s="215"/>
      <c r="C1" s="256"/>
      <c r="D1" s="256"/>
      <c r="E1" s="256"/>
      <c r="F1" s="256"/>
      <c r="G1" s="256"/>
      <c r="H1" s="256"/>
      <c r="I1" s="256"/>
      <c r="J1" s="256"/>
      <c r="K1" s="256"/>
      <c r="L1" s="256"/>
      <c r="M1" s="256"/>
      <c r="N1" s="256"/>
      <c r="O1" s="256"/>
      <c r="P1" s="256"/>
      <c r="Q1" s="256"/>
      <c r="R1" s="256"/>
      <c r="S1" s="320"/>
    </row>
    <row r="2" spans="1:19" ht="24.75" customHeight="1">
      <c r="A2" s="920" t="s">
        <v>629</v>
      </c>
      <c r="B2" s="920"/>
      <c r="C2" s="920"/>
      <c r="D2" s="920"/>
      <c r="E2" s="920"/>
      <c r="F2" s="920"/>
      <c r="G2" s="920"/>
      <c r="H2" s="920"/>
      <c r="I2" s="920"/>
      <c r="J2" s="920"/>
      <c r="K2" s="920"/>
      <c r="L2" s="920"/>
      <c r="M2" s="920"/>
      <c r="N2" s="920"/>
      <c r="O2" s="920"/>
      <c r="P2" s="920"/>
      <c r="Q2" s="920"/>
      <c r="R2" s="920"/>
      <c r="S2" s="920"/>
    </row>
    <row r="3" spans="1:26" s="323" customFormat="1" ht="24.75" customHeight="1">
      <c r="A3" s="920" t="s">
        <v>630</v>
      </c>
      <c r="B3" s="920"/>
      <c r="C3" s="920"/>
      <c r="D3" s="920"/>
      <c r="E3" s="920"/>
      <c r="F3" s="920"/>
      <c r="G3" s="920"/>
      <c r="H3" s="920"/>
      <c r="I3" s="920"/>
      <c r="J3" s="920"/>
      <c r="K3" s="920"/>
      <c r="L3" s="920"/>
      <c r="M3" s="920"/>
      <c r="N3" s="920"/>
      <c r="O3" s="920"/>
      <c r="P3" s="920"/>
      <c r="Q3" s="920"/>
      <c r="R3" s="920"/>
      <c r="S3" s="920"/>
      <c r="V3" s="324"/>
      <c r="W3" s="324"/>
      <c r="X3" s="324"/>
      <c r="Y3" s="324"/>
      <c r="Z3" s="324"/>
    </row>
    <row r="4" spans="1:26" s="325" customFormat="1" ht="23.25" customHeight="1">
      <c r="A4" s="920" t="s">
        <v>319</v>
      </c>
      <c r="B4" s="920"/>
      <c r="C4" s="920"/>
      <c r="D4" s="920"/>
      <c r="E4" s="920"/>
      <c r="F4" s="920"/>
      <c r="G4" s="920"/>
      <c r="H4" s="920"/>
      <c r="I4" s="920"/>
      <c r="J4" s="920"/>
      <c r="K4" s="920"/>
      <c r="L4" s="920"/>
      <c r="M4" s="920"/>
      <c r="N4" s="920"/>
      <c r="O4" s="920"/>
      <c r="P4" s="920"/>
      <c r="Q4" s="920"/>
      <c r="R4" s="920"/>
      <c r="S4" s="920"/>
      <c r="V4" s="326"/>
      <c r="W4" s="326"/>
      <c r="X4" s="326"/>
      <c r="Y4" s="326"/>
      <c r="Z4" s="326"/>
    </row>
    <row r="5" spans="1:26" s="325" customFormat="1" ht="23.25" customHeight="1">
      <c r="A5" s="219"/>
      <c r="B5" s="219"/>
      <c r="C5" s="219"/>
      <c r="D5" s="219"/>
      <c r="E5" s="219"/>
      <c r="F5" s="219"/>
      <c r="G5" s="219"/>
      <c r="H5" s="219"/>
      <c r="I5" s="219"/>
      <c r="J5" s="219"/>
      <c r="K5" s="219"/>
      <c r="L5" s="219"/>
      <c r="M5" s="219"/>
      <c r="N5" s="219"/>
      <c r="O5" s="219"/>
      <c r="P5" s="219"/>
      <c r="Q5" s="219"/>
      <c r="R5" s="219"/>
      <c r="S5" s="219"/>
      <c r="V5" s="326"/>
      <c r="W5" s="326"/>
      <c r="X5" s="326"/>
      <c r="Y5" s="326"/>
      <c r="Z5" s="326"/>
    </row>
    <row r="6" spans="1:26" s="327" customFormat="1" ht="73.5" customHeight="1">
      <c r="A6" s="933"/>
      <c r="B6" s="934"/>
      <c r="C6" s="921" t="s">
        <v>631</v>
      </c>
      <c r="D6" s="922"/>
      <c r="E6" s="922"/>
      <c r="F6" s="922"/>
      <c r="G6" s="922"/>
      <c r="H6" s="922"/>
      <c r="I6" s="922"/>
      <c r="J6" s="922"/>
      <c r="K6" s="921" t="s">
        <v>21</v>
      </c>
      <c r="L6" s="922"/>
      <c r="M6" s="923"/>
      <c r="N6" s="921" t="s">
        <v>22</v>
      </c>
      <c r="O6" s="922"/>
      <c r="P6" s="923"/>
      <c r="Q6" s="921" t="s">
        <v>23</v>
      </c>
      <c r="R6" s="922"/>
      <c r="S6" s="923"/>
      <c r="V6" s="328"/>
      <c r="W6" s="328"/>
      <c r="X6" s="328"/>
      <c r="Y6" s="328"/>
      <c r="Z6" s="328"/>
    </row>
    <row r="7" spans="1:26" s="327" customFormat="1" ht="25.5" customHeight="1">
      <c r="A7" s="935"/>
      <c r="B7" s="936"/>
      <c r="C7" s="939" t="s">
        <v>632</v>
      </c>
      <c r="D7" s="939"/>
      <c r="E7" s="939"/>
      <c r="F7" s="939"/>
      <c r="G7" s="939" t="s">
        <v>633</v>
      </c>
      <c r="H7" s="939"/>
      <c r="I7" s="939"/>
      <c r="J7" s="939"/>
      <c r="K7" s="944" t="s">
        <v>511</v>
      </c>
      <c r="L7" s="940" t="s">
        <v>321</v>
      </c>
      <c r="M7" s="942"/>
      <c r="N7" s="944" t="s">
        <v>511</v>
      </c>
      <c r="O7" s="940" t="s">
        <v>321</v>
      </c>
      <c r="P7" s="942"/>
      <c r="Q7" s="944" t="s">
        <v>511</v>
      </c>
      <c r="R7" s="939" t="s">
        <v>321</v>
      </c>
      <c r="S7" s="939"/>
      <c r="V7" s="328"/>
      <c r="W7" s="328"/>
      <c r="X7" s="328"/>
      <c r="Y7" s="328"/>
      <c r="Z7" s="328"/>
    </row>
    <row r="8" spans="1:26" s="327" customFormat="1" ht="30.75" customHeight="1">
      <c r="A8" s="935"/>
      <c r="B8" s="936"/>
      <c r="C8" s="940" t="s">
        <v>24</v>
      </c>
      <c r="D8" s="941"/>
      <c r="E8" s="942"/>
      <c r="F8" s="943" t="s">
        <v>25</v>
      </c>
      <c r="G8" s="924" t="s">
        <v>26</v>
      </c>
      <c r="H8" s="925"/>
      <c r="I8" s="926"/>
      <c r="J8" s="927" t="s">
        <v>27</v>
      </c>
      <c r="K8" s="918"/>
      <c r="L8" s="918" t="s">
        <v>333</v>
      </c>
      <c r="M8" s="918" t="s">
        <v>320</v>
      </c>
      <c r="N8" s="918"/>
      <c r="O8" s="944" t="s">
        <v>333</v>
      </c>
      <c r="P8" s="944" t="s">
        <v>320</v>
      </c>
      <c r="Q8" s="918"/>
      <c r="R8" s="944" t="s">
        <v>333</v>
      </c>
      <c r="S8" s="944" t="s">
        <v>320</v>
      </c>
      <c r="V8" s="328"/>
      <c r="W8" s="328"/>
      <c r="X8" s="328"/>
      <c r="Y8" s="328"/>
      <c r="Z8" s="328"/>
    </row>
    <row r="9" spans="1:26" s="327" customFormat="1" ht="17.25" customHeight="1">
      <c r="A9" s="935"/>
      <c r="B9" s="936"/>
      <c r="C9" s="949" t="s">
        <v>511</v>
      </c>
      <c r="D9" s="940" t="s">
        <v>321</v>
      </c>
      <c r="E9" s="942"/>
      <c r="F9" s="943"/>
      <c r="G9" s="927" t="s">
        <v>511</v>
      </c>
      <c r="H9" s="951" t="s">
        <v>321</v>
      </c>
      <c r="I9" s="952"/>
      <c r="J9" s="928"/>
      <c r="K9" s="918"/>
      <c r="L9" s="918"/>
      <c r="M9" s="918"/>
      <c r="N9" s="918"/>
      <c r="O9" s="918"/>
      <c r="P9" s="918"/>
      <c r="Q9" s="918"/>
      <c r="R9" s="918"/>
      <c r="S9" s="918"/>
      <c r="V9" s="328"/>
      <c r="W9" s="328"/>
      <c r="X9" s="328"/>
      <c r="Y9" s="328"/>
      <c r="Z9" s="328"/>
    </row>
    <row r="10" spans="1:26" s="327" customFormat="1" ht="115.5" customHeight="1">
      <c r="A10" s="937"/>
      <c r="B10" s="938"/>
      <c r="C10" s="950"/>
      <c r="D10" s="329" t="s">
        <v>634</v>
      </c>
      <c r="E10" s="329" t="s">
        <v>320</v>
      </c>
      <c r="F10" s="943"/>
      <c r="G10" s="929"/>
      <c r="H10" s="329" t="s">
        <v>333</v>
      </c>
      <c r="I10" s="329" t="s">
        <v>320</v>
      </c>
      <c r="J10" s="929"/>
      <c r="K10" s="919"/>
      <c r="L10" s="919"/>
      <c r="M10" s="919"/>
      <c r="N10" s="919"/>
      <c r="O10" s="919"/>
      <c r="P10" s="919"/>
      <c r="Q10" s="919"/>
      <c r="R10" s="919"/>
      <c r="S10" s="919"/>
      <c r="V10" s="328"/>
      <c r="W10" s="328"/>
      <c r="X10" s="328"/>
      <c r="Y10" s="328"/>
      <c r="Z10" s="328"/>
    </row>
    <row r="11" spans="1:26" s="327" customFormat="1" ht="15" customHeight="1">
      <c r="A11" s="939" t="s">
        <v>323</v>
      </c>
      <c r="B11" s="939"/>
      <c r="C11" s="330">
        <v>1</v>
      </c>
      <c r="D11" s="330">
        <v>2</v>
      </c>
      <c r="E11" s="330">
        <v>3</v>
      </c>
      <c r="F11" s="330">
        <v>4</v>
      </c>
      <c r="G11" s="330">
        <v>5</v>
      </c>
      <c r="H11" s="330">
        <v>6</v>
      </c>
      <c r="I11" s="330">
        <v>7</v>
      </c>
      <c r="J11" s="330">
        <v>8</v>
      </c>
      <c r="K11" s="330">
        <v>9</v>
      </c>
      <c r="L11" s="330">
        <v>10</v>
      </c>
      <c r="M11" s="330">
        <v>11</v>
      </c>
      <c r="N11" s="330">
        <v>12</v>
      </c>
      <c r="O11" s="330">
        <v>13</v>
      </c>
      <c r="P11" s="330">
        <v>14</v>
      </c>
      <c r="Q11" s="330">
        <v>15</v>
      </c>
      <c r="R11" s="330">
        <v>16</v>
      </c>
      <c r="S11" s="330">
        <v>17</v>
      </c>
      <c r="V11" s="328"/>
      <c r="W11" s="328"/>
      <c r="X11" s="328"/>
      <c r="Y11" s="328"/>
      <c r="Z11" s="328"/>
    </row>
    <row r="12" spans="1:26" s="327" customFormat="1" ht="40.5" customHeight="1">
      <c r="A12" s="930" t="s">
        <v>324</v>
      </c>
      <c r="B12" s="931"/>
      <c r="C12" s="640">
        <f aca="true" t="shared" si="0" ref="C12:S12">C13+C35</f>
        <v>359340.5</v>
      </c>
      <c r="D12" s="640">
        <f t="shared" si="0"/>
        <v>109487.5</v>
      </c>
      <c r="E12" s="640">
        <f t="shared" si="0"/>
        <v>250350</v>
      </c>
      <c r="F12" s="640">
        <f t="shared" si="0"/>
        <v>17099893</v>
      </c>
      <c r="G12" s="640">
        <f t="shared" si="0"/>
        <v>8138</v>
      </c>
      <c r="H12" s="640">
        <f t="shared" si="0"/>
        <v>4925</v>
      </c>
      <c r="I12" s="640">
        <f t="shared" si="0"/>
        <v>3216</v>
      </c>
      <c r="J12" s="640">
        <f t="shared" si="0"/>
        <v>970913</v>
      </c>
      <c r="K12" s="640">
        <f t="shared" si="0"/>
        <v>54898877</v>
      </c>
      <c r="L12" s="640">
        <f t="shared" si="0"/>
        <v>18112463</v>
      </c>
      <c r="M12" s="640">
        <f t="shared" si="0"/>
        <v>41124738</v>
      </c>
      <c r="N12" s="640">
        <f t="shared" si="0"/>
        <v>667852.5</v>
      </c>
      <c r="O12" s="640">
        <f t="shared" si="0"/>
        <v>201403.5</v>
      </c>
      <c r="P12" s="640">
        <f t="shared" si="0"/>
        <v>466449</v>
      </c>
      <c r="Q12" s="640">
        <f t="shared" si="0"/>
        <v>870182</v>
      </c>
      <c r="R12" s="640">
        <f t="shared" si="0"/>
        <v>688663</v>
      </c>
      <c r="S12" s="757">
        <f t="shared" si="0"/>
        <v>77182048</v>
      </c>
      <c r="V12" s="328"/>
      <c r="W12" s="328"/>
      <c r="X12" s="328"/>
      <c r="Y12" s="328"/>
      <c r="Z12" s="328"/>
    </row>
    <row r="13" spans="1:26" s="327" customFormat="1" ht="56.25" customHeight="1">
      <c r="A13" s="916" t="s">
        <v>325</v>
      </c>
      <c r="B13" s="932"/>
      <c r="C13" s="641">
        <f aca="true" t="shared" si="1" ref="C13:S13">SUM(C14:C34)</f>
        <v>9173.5</v>
      </c>
      <c r="D13" s="641">
        <f t="shared" si="1"/>
        <v>3057.5</v>
      </c>
      <c r="E13" s="641">
        <f t="shared" si="1"/>
        <v>6613</v>
      </c>
      <c r="F13" s="641">
        <f t="shared" si="1"/>
        <v>363097</v>
      </c>
      <c r="G13" s="641">
        <f t="shared" si="1"/>
        <v>81</v>
      </c>
      <c r="H13" s="641">
        <f t="shared" si="1"/>
        <v>27</v>
      </c>
      <c r="I13" s="641">
        <f t="shared" si="1"/>
        <v>57</v>
      </c>
      <c r="J13" s="641">
        <f t="shared" si="1"/>
        <v>14990</v>
      </c>
      <c r="K13" s="641">
        <f t="shared" si="1"/>
        <v>34350520</v>
      </c>
      <c r="L13" s="641">
        <f t="shared" si="1"/>
        <v>11450173</v>
      </c>
      <c r="M13" s="641">
        <f t="shared" si="1"/>
        <v>27238671</v>
      </c>
      <c r="N13" s="641">
        <f t="shared" si="1"/>
        <v>0</v>
      </c>
      <c r="O13" s="641">
        <f t="shared" si="1"/>
        <v>0</v>
      </c>
      <c r="P13" s="641">
        <f t="shared" si="1"/>
        <v>0</v>
      </c>
      <c r="Q13" s="641">
        <f t="shared" si="1"/>
        <v>16257.5</v>
      </c>
      <c r="R13" s="641">
        <f t="shared" si="1"/>
        <v>5418.5</v>
      </c>
      <c r="S13" s="758">
        <f t="shared" si="1"/>
        <v>77011368</v>
      </c>
      <c r="V13" s="328"/>
      <c r="W13" s="328"/>
      <c r="X13" s="328"/>
      <c r="Y13" s="328"/>
      <c r="Z13" s="328"/>
    </row>
    <row r="14" spans="1:26" s="327" customFormat="1" ht="15" customHeight="1">
      <c r="A14" s="642">
        <v>1</v>
      </c>
      <c r="B14" s="643" t="s">
        <v>479</v>
      </c>
      <c r="C14" s="644">
        <f aca="true" t="shared" si="2" ref="C14:C19">D14+E14</f>
        <v>394.5</v>
      </c>
      <c r="D14" s="649">
        <f>(E14/4)*2</f>
        <v>131.5</v>
      </c>
      <c r="E14" s="645">
        <v>263</v>
      </c>
      <c r="F14" s="645">
        <v>27651</v>
      </c>
      <c r="G14" s="644">
        <f>H14+I14</f>
        <v>49.5</v>
      </c>
      <c r="H14" s="649">
        <f>(I14/4)*2</f>
        <v>16.5</v>
      </c>
      <c r="I14" s="646">
        <v>33</v>
      </c>
      <c r="J14" s="646">
        <v>8420</v>
      </c>
      <c r="K14" s="644">
        <f>L14+M14</f>
        <v>3793.5</v>
      </c>
      <c r="L14" s="649">
        <f>(M14/4)*2</f>
        <v>1264.5</v>
      </c>
      <c r="M14" s="645">
        <v>2529</v>
      </c>
      <c r="N14" s="645">
        <v>0</v>
      </c>
      <c r="O14" s="645">
        <v>0</v>
      </c>
      <c r="P14" s="645">
        <v>0</v>
      </c>
      <c r="Q14" s="644">
        <f>R14+S14</f>
        <v>1809</v>
      </c>
      <c r="R14" s="649">
        <f>(S14/4)*2</f>
        <v>603</v>
      </c>
      <c r="S14" s="647">
        <v>1206</v>
      </c>
      <c r="V14" s="328"/>
      <c r="W14" s="328"/>
      <c r="X14" s="328"/>
      <c r="Y14" s="328"/>
      <c r="Z14" s="328"/>
    </row>
    <row r="15" spans="1:26" s="327" customFormat="1" ht="37.5">
      <c r="A15" s="642">
        <v>2</v>
      </c>
      <c r="B15" s="648" t="s">
        <v>480</v>
      </c>
      <c r="C15" s="644">
        <f t="shared" si="2"/>
        <v>22.5</v>
      </c>
      <c r="D15" s="649">
        <f>(E15/4)*2</f>
        <v>7.5</v>
      </c>
      <c r="E15" s="645">
        <v>15</v>
      </c>
      <c r="F15" s="645">
        <v>4500</v>
      </c>
      <c r="G15" s="644">
        <f>H15+I15</f>
        <v>0</v>
      </c>
      <c r="H15" s="645"/>
      <c r="I15" s="646">
        <v>0</v>
      </c>
      <c r="J15" s="646">
        <v>0</v>
      </c>
      <c r="K15" s="644">
        <f>L15+M15</f>
        <v>15300</v>
      </c>
      <c r="L15" s="649">
        <f>(M15/4)*2</f>
        <v>5100</v>
      </c>
      <c r="M15" s="645">
        <v>10200</v>
      </c>
      <c r="N15" s="645">
        <v>0</v>
      </c>
      <c r="O15" s="645">
        <v>0</v>
      </c>
      <c r="P15" s="645">
        <v>0</v>
      </c>
      <c r="Q15" s="644">
        <f>R15+S15</f>
        <v>750</v>
      </c>
      <c r="R15" s="649">
        <f>(S15/4)*2</f>
        <v>250</v>
      </c>
      <c r="S15" s="647">
        <v>500</v>
      </c>
      <c r="T15" s="327" t="s">
        <v>635</v>
      </c>
      <c r="V15" s="328"/>
      <c r="W15" s="328"/>
      <c r="X15" s="328"/>
      <c r="Y15" s="328"/>
      <c r="Z15" s="328"/>
    </row>
    <row r="16" spans="1:26" s="327" customFormat="1" ht="37.5">
      <c r="A16" s="642">
        <v>3</v>
      </c>
      <c r="B16" s="650" t="s">
        <v>465</v>
      </c>
      <c r="C16" s="644">
        <f t="shared" si="2"/>
        <v>57</v>
      </c>
      <c r="D16" s="649">
        <f>(E16/4)*2</f>
        <v>19</v>
      </c>
      <c r="E16" s="645">
        <v>38</v>
      </c>
      <c r="F16" s="645"/>
      <c r="G16" s="644"/>
      <c r="H16" s="644"/>
      <c r="I16" s="646">
        <v>1</v>
      </c>
      <c r="J16" s="646"/>
      <c r="K16" s="644">
        <f>L16+M16</f>
        <v>5850</v>
      </c>
      <c r="L16" s="649">
        <f>(M16/4)*2</f>
        <v>1950</v>
      </c>
      <c r="M16" s="645">
        <v>3900</v>
      </c>
      <c r="N16" s="645">
        <v>0</v>
      </c>
      <c r="O16" s="645">
        <v>0</v>
      </c>
      <c r="P16" s="645">
        <v>0</v>
      </c>
      <c r="Q16" s="644">
        <f>R16+S16</f>
        <v>7</v>
      </c>
      <c r="R16" s="649">
        <v>2</v>
      </c>
      <c r="S16" s="647">
        <v>5</v>
      </c>
      <c r="V16" s="328"/>
      <c r="W16" s="328"/>
      <c r="X16" s="328"/>
      <c r="Y16" s="328"/>
      <c r="Z16" s="328"/>
    </row>
    <row r="17" spans="1:26" s="327" customFormat="1" ht="37.5">
      <c r="A17" s="642">
        <v>4</v>
      </c>
      <c r="B17" s="648" t="s">
        <v>350</v>
      </c>
      <c r="C17" s="644">
        <f t="shared" si="2"/>
        <v>1</v>
      </c>
      <c r="D17" s="761"/>
      <c r="E17" s="645">
        <v>1</v>
      </c>
      <c r="F17" s="645">
        <v>300</v>
      </c>
      <c r="G17" s="644"/>
      <c r="H17" s="644"/>
      <c r="I17" s="646"/>
      <c r="J17" s="646"/>
      <c r="K17" s="644">
        <f>L17+M17</f>
        <v>1</v>
      </c>
      <c r="L17" s="644"/>
      <c r="M17" s="645">
        <v>1</v>
      </c>
      <c r="N17" s="645">
        <v>0</v>
      </c>
      <c r="O17" s="645">
        <v>0</v>
      </c>
      <c r="P17" s="645">
        <v>0</v>
      </c>
      <c r="Q17" s="644">
        <f>R17+S17</f>
        <v>1</v>
      </c>
      <c r="R17" s="644"/>
      <c r="S17" s="647">
        <v>1</v>
      </c>
      <c r="V17" s="328"/>
      <c r="W17" s="328"/>
      <c r="X17" s="328"/>
      <c r="Y17" s="328"/>
      <c r="Z17" s="328"/>
    </row>
    <row r="18" spans="1:26" s="327" customFormat="1" ht="37.5">
      <c r="A18" s="642">
        <v>5</v>
      </c>
      <c r="B18" s="648" t="s">
        <v>355</v>
      </c>
      <c r="C18" s="644">
        <f t="shared" si="2"/>
        <v>157.5</v>
      </c>
      <c r="D18" s="649">
        <f>(E18/4)*2</f>
        <v>52.5</v>
      </c>
      <c r="E18" s="645">
        <v>105</v>
      </c>
      <c r="F18" s="645"/>
      <c r="G18" s="644"/>
      <c r="H18" s="644"/>
      <c r="I18" s="646"/>
      <c r="J18" s="646"/>
      <c r="K18" s="644"/>
      <c r="L18" s="644"/>
      <c r="M18" s="645"/>
      <c r="N18" s="645">
        <v>0</v>
      </c>
      <c r="O18" s="645">
        <v>0</v>
      </c>
      <c r="P18" s="645">
        <v>0</v>
      </c>
      <c r="Q18" s="644"/>
      <c r="R18" s="644"/>
      <c r="S18" s="647"/>
      <c r="V18" s="328"/>
      <c r="W18" s="328"/>
      <c r="X18" s="328"/>
      <c r="Y18" s="328"/>
      <c r="Z18" s="328"/>
    </row>
    <row r="19" spans="1:26" s="327" customFormat="1" ht="37.5">
      <c r="A19" s="642">
        <v>6</v>
      </c>
      <c r="B19" s="648" t="s">
        <v>356</v>
      </c>
      <c r="C19" s="644">
        <f t="shared" si="2"/>
        <v>18</v>
      </c>
      <c r="D19" s="649">
        <f>(E19/4)*2</f>
        <v>6</v>
      </c>
      <c r="E19" s="645">
        <v>12</v>
      </c>
      <c r="F19" s="645">
        <v>600</v>
      </c>
      <c r="G19" s="644"/>
      <c r="H19" s="644"/>
      <c r="I19" s="646">
        <v>0</v>
      </c>
      <c r="J19" s="646">
        <v>0</v>
      </c>
      <c r="K19" s="644">
        <f>L19+M19</f>
        <v>3000</v>
      </c>
      <c r="L19" s="649">
        <f>(M19/4)*2</f>
        <v>1000</v>
      </c>
      <c r="M19" s="645">
        <v>2000</v>
      </c>
      <c r="N19" s="645">
        <v>0</v>
      </c>
      <c r="O19" s="645">
        <v>0</v>
      </c>
      <c r="P19" s="645">
        <v>0</v>
      </c>
      <c r="Q19" s="644">
        <f>R19+S19</f>
        <v>270</v>
      </c>
      <c r="R19" s="649">
        <f>(S19/4)*2</f>
        <v>90</v>
      </c>
      <c r="S19" s="647">
        <v>180</v>
      </c>
      <c r="V19" s="328"/>
      <c r="W19" s="328"/>
      <c r="X19" s="328"/>
      <c r="Y19" s="328"/>
      <c r="Z19" s="328"/>
    </row>
    <row r="20" spans="1:26" s="327" customFormat="1" ht="56.25">
      <c r="A20" s="642">
        <v>7</v>
      </c>
      <c r="B20" s="648" t="s">
        <v>481</v>
      </c>
      <c r="C20" s="644"/>
      <c r="D20" s="644"/>
      <c r="E20" s="645"/>
      <c r="F20" s="645"/>
      <c r="G20" s="644"/>
      <c r="H20" s="644"/>
      <c r="I20" s="646"/>
      <c r="J20" s="646"/>
      <c r="K20" s="644"/>
      <c r="L20" s="644"/>
      <c r="M20" s="645"/>
      <c r="N20" s="645"/>
      <c r="O20" s="645"/>
      <c r="P20" s="645"/>
      <c r="Q20" s="644"/>
      <c r="R20" s="644"/>
      <c r="S20" s="647"/>
      <c r="V20" s="328"/>
      <c r="W20" s="328"/>
      <c r="X20" s="328"/>
      <c r="Y20" s="328"/>
      <c r="Z20" s="328"/>
    </row>
    <row r="21" spans="1:26" s="327" customFormat="1" ht="18.75">
      <c r="A21" s="642">
        <v>8</v>
      </c>
      <c r="B21" s="651" t="s">
        <v>482</v>
      </c>
      <c r="C21" s="644"/>
      <c r="D21" s="644"/>
      <c r="E21" s="645"/>
      <c r="F21" s="645"/>
      <c r="G21" s="644"/>
      <c r="H21" s="644"/>
      <c r="I21" s="646"/>
      <c r="J21" s="646"/>
      <c r="K21" s="644"/>
      <c r="L21" s="644"/>
      <c r="M21" s="645"/>
      <c r="N21" s="645"/>
      <c r="O21" s="645"/>
      <c r="P21" s="645"/>
      <c r="Q21" s="644"/>
      <c r="R21" s="644"/>
      <c r="S21" s="647"/>
      <c r="V21" s="328"/>
      <c r="W21" s="328"/>
      <c r="X21" s="328"/>
      <c r="Y21" s="328"/>
      <c r="Z21" s="328"/>
    </row>
    <row r="22" spans="1:26" s="327" customFormat="1" ht="18.75">
      <c r="A22" s="642">
        <v>9</v>
      </c>
      <c r="B22" s="652" t="s">
        <v>483</v>
      </c>
      <c r="C22" s="644">
        <f aca="true" t="shared" si="3" ref="C22:C27">D22+E22</f>
        <v>10.5</v>
      </c>
      <c r="D22" s="649">
        <f aca="true" t="shared" si="4" ref="D22:D27">(E22/4)*2</f>
        <v>3.5</v>
      </c>
      <c r="E22" s="645">
        <v>7</v>
      </c>
      <c r="F22" s="645">
        <v>1800</v>
      </c>
      <c r="G22" s="644">
        <f aca="true" t="shared" si="5" ref="G22:G27">H22+I22</f>
        <v>0</v>
      </c>
      <c r="H22" s="644">
        <f aca="true" t="shared" si="6" ref="H22:H27">(I22/4)*2</f>
        <v>0</v>
      </c>
      <c r="I22" s="646"/>
      <c r="J22" s="646"/>
      <c r="K22" s="644">
        <f aca="true" t="shared" si="7" ref="K22:K27">L22+M22</f>
        <v>6900</v>
      </c>
      <c r="L22" s="649">
        <f aca="true" t="shared" si="8" ref="L22:L27">(M22/4)*2</f>
        <v>2300</v>
      </c>
      <c r="M22" s="645">
        <v>4600</v>
      </c>
      <c r="N22" s="645">
        <v>0</v>
      </c>
      <c r="O22" s="645">
        <v>0</v>
      </c>
      <c r="P22" s="645">
        <v>0</v>
      </c>
      <c r="Q22" s="644">
        <f>R22+S22</f>
        <v>108</v>
      </c>
      <c r="R22" s="649">
        <f>(S22/4)*2</f>
        <v>36</v>
      </c>
      <c r="S22" s="647">
        <v>72</v>
      </c>
      <c r="T22" s="327" t="s">
        <v>635</v>
      </c>
      <c r="V22" s="328"/>
      <c r="W22" s="328"/>
      <c r="X22" s="328"/>
      <c r="Y22" s="328"/>
      <c r="Z22" s="328"/>
    </row>
    <row r="23" spans="1:26" s="327" customFormat="1" ht="56.25">
      <c r="A23" s="642">
        <v>10</v>
      </c>
      <c r="B23" s="648" t="s">
        <v>484</v>
      </c>
      <c r="C23" s="644">
        <f t="shared" si="3"/>
        <v>67.5</v>
      </c>
      <c r="D23" s="649">
        <f t="shared" si="4"/>
        <v>22.5</v>
      </c>
      <c r="E23" s="645">
        <v>45</v>
      </c>
      <c r="F23" s="645">
        <v>1600</v>
      </c>
      <c r="G23" s="644">
        <f t="shared" si="5"/>
        <v>1.5</v>
      </c>
      <c r="H23" s="649">
        <f t="shared" si="6"/>
        <v>0.5</v>
      </c>
      <c r="I23" s="646">
        <v>1</v>
      </c>
      <c r="J23" s="646">
        <v>200</v>
      </c>
      <c r="K23" s="644">
        <f t="shared" si="7"/>
        <v>6750</v>
      </c>
      <c r="L23" s="649">
        <f t="shared" si="8"/>
        <v>2250</v>
      </c>
      <c r="M23" s="645">
        <v>4500</v>
      </c>
      <c r="N23" s="645">
        <v>0</v>
      </c>
      <c r="O23" s="645">
        <v>0</v>
      </c>
      <c r="P23" s="645">
        <v>0</v>
      </c>
      <c r="Q23" s="644">
        <f>R23+S23</f>
        <v>75</v>
      </c>
      <c r="R23" s="649">
        <f>(S23/4)*2</f>
        <v>25</v>
      </c>
      <c r="S23" s="647">
        <v>50</v>
      </c>
      <c r="T23" s="327" t="s">
        <v>635</v>
      </c>
      <c r="V23" s="328"/>
      <c r="W23" s="328"/>
      <c r="X23" s="328"/>
      <c r="Y23" s="328"/>
      <c r="Z23" s="328"/>
    </row>
    <row r="24" spans="1:26" s="327" customFormat="1" ht="15" customHeight="1">
      <c r="A24" s="642">
        <v>11</v>
      </c>
      <c r="B24" s="651" t="s">
        <v>447</v>
      </c>
      <c r="C24" s="644">
        <f t="shared" si="3"/>
        <v>1575</v>
      </c>
      <c r="D24" s="649">
        <f t="shared" si="4"/>
        <v>525</v>
      </c>
      <c r="E24" s="645">
        <v>1050</v>
      </c>
      <c r="F24" s="645">
        <v>210000</v>
      </c>
      <c r="G24" s="644">
        <f t="shared" si="5"/>
        <v>22.5</v>
      </c>
      <c r="H24" s="649">
        <f t="shared" si="6"/>
        <v>7.5</v>
      </c>
      <c r="I24" s="646">
        <v>15</v>
      </c>
      <c r="J24" s="646">
        <v>3250</v>
      </c>
      <c r="K24" s="644">
        <f t="shared" si="7"/>
        <v>248755.5</v>
      </c>
      <c r="L24" s="649">
        <f t="shared" si="8"/>
        <v>82918.5</v>
      </c>
      <c r="M24" s="645">
        <v>165837</v>
      </c>
      <c r="N24" s="645">
        <v>0</v>
      </c>
      <c r="O24" s="645">
        <v>0</v>
      </c>
      <c r="P24" s="645">
        <v>0</v>
      </c>
      <c r="Q24" s="644">
        <f>R24+S24</f>
        <v>22.5</v>
      </c>
      <c r="R24" s="649">
        <f>(S24/4)*2</f>
        <v>7.5</v>
      </c>
      <c r="S24" s="647">
        <v>15</v>
      </c>
      <c r="T24" s="327" t="s">
        <v>635</v>
      </c>
      <c r="V24" s="328"/>
      <c r="W24" s="328"/>
      <c r="X24" s="328"/>
      <c r="Y24" s="328"/>
      <c r="Z24" s="328"/>
    </row>
    <row r="25" spans="1:26" s="327" customFormat="1" ht="18.75">
      <c r="A25" s="642">
        <v>12</v>
      </c>
      <c r="B25" s="648" t="s">
        <v>357</v>
      </c>
      <c r="C25" s="644">
        <f t="shared" si="3"/>
        <v>6750</v>
      </c>
      <c r="D25" s="649">
        <f t="shared" si="4"/>
        <v>2250</v>
      </c>
      <c r="E25" s="645">
        <v>4500</v>
      </c>
      <c r="F25" s="645">
        <v>100403</v>
      </c>
      <c r="G25" s="644">
        <f t="shared" si="5"/>
        <v>6</v>
      </c>
      <c r="H25" s="649">
        <f t="shared" si="6"/>
        <v>2</v>
      </c>
      <c r="I25" s="646">
        <v>4</v>
      </c>
      <c r="J25" s="646">
        <v>3000</v>
      </c>
      <c r="K25" s="644">
        <f t="shared" si="7"/>
        <v>34050000</v>
      </c>
      <c r="L25" s="763">
        <f t="shared" si="8"/>
        <v>11350000</v>
      </c>
      <c r="M25" s="645">
        <v>22700000</v>
      </c>
      <c r="N25" s="645">
        <v>0</v>
      </c>
      <c r="O25" s="645">
        <v>0</v>
      </c>
      <c r="P25" s="645">
        <v>0</v>
      </c>
      <c r="Q25" s="644">
        <f>R25+S25</f>
        <v>12750</v>
      </c>
      <c r="R25" s="644">
        <f>(S25/4)*2</f>
        <v>4250</v>
      </c>
      <c r="S25" s="647">
        <v>8500</v>
      </c>
      <c r="V25" s="328"/>
      <c r="W25" s="328"/>
      <c r="X25" s="328"/>
      <c r="Y25" s="328"/>
      <c r="Z25" s="328"/>
    </row>
    <row r="26" spans="1:26" s="327" customFormat="1" ht="37.5">
      <c r="A26" s="642">
        <v>13</v>
      </c>
      <c r="B26" s="651" t="s">
        <v>358</v>
      </c>
      <c r="C26" s="644">
        <f t="shared" si="3"/>
        <v>4.5</v>
      </c>
      <c r="D26" s="649">
        <f t="shared" si="4"/>
        <v>1.5</v>
      </c>
      <c r="E26" s="645">
        <v>3</v>
      </c>
      <c r="F26" s="645">
        <v>2300</v>
      </c>
      <c r="G26" s="644">
        <f t="shared" si="5"/>
        <v>0</v>
      </c>
      <c r="H26" s="761">
        <f t="shared" si="6"/>
        <v>0</v>
      </c>
      <c r="I26" s="646">
        <v>0</v>
      </c>
      <c r="J26" s="646">
        <v>0</v>
      </c>
      <c r="K26" s="644">
        <f t="shared" si="7"/>
        <v>3450</v>
      </c>
      <c r="L26" s="649">
        <f t="shared" si="8"/>
        <v>1150</v>
      </c>
      <c r="M26" s="645">
        <v>2300</v>
      </c>
      <c r="N26" s="645">
        <v>0</v>
      </c>
      <c r="O26" s="645">
        <v>0</v>
      </c>
      <c r="P26" s="645">
        <v>0</v>
      </c>
      <c r="Q26" s="644"/>
      <c r="R26" s="644"/>
      <c r="S26" s="647"/>
      <c r="V26" s="328"/>
      <c r="W26" s="328"/>
      <c r="X26" s="328"/>
      <c r="Y26" s="328"/>
      <c r="Z26" s="328"/>
    </row>
    <row r="27" spans="1:26" s="327" customFormat="1" ht="56.25">
      <c r="A27" s="642">
        <v>14</v>
      </c>
      <c r="B27" s="648" t="s">
        <v>359</v>
      </c>
      <c r="C27" s="644">
        <f t="shared" si="3"/>
        <v>6</v>
      </c>
      <c r="D27" s="649">
        <f t="shared" si="4"/>
        <v>2</v>
      </c>
      <c r="E27" s="645">
        <v>4</v>
      </c>
      <c r="F27" s="645">
        <v>600</v>
      </c>
      <c r="G27" s="644">
        <f t="shared" si="5"/>
        <v>0</v>
      </c>
      <c r="H27" s="761">
        <f t="shared" si="6"/>
        <v>0</v>
      </c>
      <c r="I27" s="646">
        <v>0</v>
      </c>
      <c r="J27" s="646">
        <v>0</v>
      </c>
      <c r="K27" s="644">
        <f t="shared" si="7"/>
        <v>900</v>
      </c>
      <c r="L27" s="649">
        <f t="shared" si="8"/>
        <v>300</v>
      </c>
      <c r="M27" s="645">
        <v>600</v>
      </c>
      <c r="N27" s="645">
        <v>0</v>
      </c>
      <c r="O27" s="645">
        <v>0</v>
      </c>
      <c r="P27" s="645">
        <v>0</v>
      </c>
      <c r="Q27" s="644">
        <f>R27+S27</f>
        <v>45</v>
      </c>
      <c r="R27" s="649">
        <f>(S27/4)*2</f>
        <v>15</v>
      </c>
      <c r="S27" s="647">
        <v>30</v>
      </c>
      <c r="V27" s="328"/>
      <c r="W27" s="328"/>
      <c r="X27" s="328"/>
      <c r="Y27" s="328"/>
      <c r="Z27" s="328"/>
    </row>
    <row r="28" spans="1:26" s="327" customFormat="1" ht="15" customHeight="1">
      <c r="A28" s="642">
        <v>15</v>
      </c>
      <c r="B28" s="651" t="s">
        <v>485</v>
      </c>
      <c r="C28" s="644"/>
      <c r="D28" s="644"/>
      <c r="E28" s="645">
        <v>497</v>
      </c>
      <c r="F28" s="645">
        <v>6963</v>
      </c>
      <c r="G28" s="644"/>
      <c r="H28" s="644"/>
      <c r="I28" s="646">
        <v>2</v>
      </c>
      <c r="J28" s="646">
        <v>0</v>
      </c>
      <c r="K28" s="644"/>
      <c r="L28" s="644"/>
      <c r="M28" s="645">
        <v>4338324</v>
      </c>
      <c r="N28" s="645">
        <v>0</v>
      </c>
      <c r="O28" s="645">
        <v>0</v>
      </c>
      <c r="P28" s="645">
        <v>0</v>
      </c>
      <c r="Q28" s="644"/>
      <c r="R28" s="644"/>
      <c r="S28" s="274">
        <v>77000529</v>
      </c>
      <c r="V28" s="328"/>
      <c r="W28" s="328"/>
      <c r="X28" s="328"/>
      <c r="Y28" s="328"/>
      <c r="Z28" s="328"/>
    </row>
    <row r="29" spans="1:26" s="327" customFormat="1" ht="56.25">
      <c r="A29" s="642">
        <v>16</v>
      </c>
      <c r="B29" s="648" t="s">
        <v>486</v>
      </c>
      <c r="C29" s="644">
        <f>D29+E29</f>
        <v>9</v>
      </c>
      <c r="D29" s="649">
        <f>(E29/4)*2</f>
        <v>3</v>
      </c>
      <c r="E29" s="645">
        <v>6</v>
      </c>
      <c r="F29" s="645">
        <v>1455</v>
      </c>
      <c r="G29" s="644">
        <f>H29+I29</f>
        <v>0</v>
      </c>
      <c r="H29" s="644">
        <f>(I29/4)*2</f>
        <v>0</v>
      </c>
      <c r="I29" s="646">
        <v>0</v>
      </c>
      <c r="J29" s="646"/>
      <c r="K29" s="644">
        <f>L29+M29</f>
        <v>1725</v>
      </c>
      <c r="L29" s="649">
        <f>(M29/4)*2</f>
        <v>575</v>
      </c>
      <c r="M29" s="645">
        <v>1150</v>
      </c>
      <c r="N29" s="645">
        <v>0</v>
      </c>
      <c r="O29" s="645">
        <v>0</v>
      </c>
      <c r="P29" s="645">
        <v>0</v>
      </c>
      <c r="Q29" s="645"/>
      <c r="R29" s="645"/>
      <c r="S29" s="647"/>
      <c r="T29" s="327" t="s">
        <v>635</v>
      </c>
      <c r="V29" s="328"/>
      <c r="W29" s="328"/>
      <c r="X29" s="328"/>
      <c r="Y29" s="328"/>
      <c r="Z29" s="328"/>
    </row>
    <row r="30" spans="1:26" s="327" customFormat="1" ht="15" customHeight="1">
      <c r="A30" s="642">
        <v>17</v>
      </c>
      <c r="B30" s="648" t="s">
        <v>487</v>
      </c>
      <c r="C30" s="644">
        <f>D30+E30</f>
        <v>76.5</v>
      </c>
      <c r="D30" s="649">
        <f>(E30/4)*2</f>
        <v>25.5</v>
      </c>
      <c r="E30" s="645">
        <v>51</v>
      </c>
      <c r="F30" s="645">
        <v>3625</v>
      </c>
      <c r="G30" s="644">
        <f>H30+I30</f>
        <v>0</v>
      </c>
      <c r="H30" s="644">
        <f>(I30/4)*2</f>
        <v>0</v>
      </c>
      <c r="I30" s="646">
        <v>0</v>
      </c>
      <c r="J30" s="646">
        <v>0</v>
      </c>
      <c r="K30" s="644">
        <f>L30+M30</f>
        <v>1500</v>
      </c>
      <c r="L30" s="649">
        <f>(M30/4)*2</f>
        <v>500</v>
      </c>
      <c r="M30" s="645">
        <v>1000</v>
      </c>
      <c r="N30" s="645">
        <v>0</v>
      </c>
      <c r="O30" s="645">
        <v>0</v>
      </c>
      <c r="P30" s="645">
        <v>0</v>
      </c>
      <c r="Q30" s="644">
        <f>R30+S30</f>
        <v>420</v>
      </c>
      <c r="R30" s="649">
        <f>(S30/4)*2</f>
        <v>140</v>
      </c>
      <c r="S30" s="647">
        <v>280</v>
      </c>
      <c r="T30" s="327" t="s">
        <v>635</v>
      </c>
      <c r="V30" s="328"/>
      <c r="W30" s="328"/>
      <c r="X30" s="328"/>
      <c r="Y30" s="328"/>
      <c r="Z30" s="328"/>
    </row>
    <row r="31" spans="1:26" s="327" customFormat="1" ht="15" customHeight="1">
      <c r="A31" s="642">
        <v>18</v>
      </c>
      <c r="B31" s="648" t="s">
        <v>360</v>
      </c>
      <c r="C31" s="644">
        <f>D31+E31</f>
        <v>15</v>
      </c>
      <c r="D31" s="649">
        <f>(E31/4)*2</f>
        <v>5</v>
      </c>
      <c r="E31" s="645">
        <v>10</v>
      </c>
      <c r="F31" s="645">
        <v>400</v>
      </c>
      <c r="G31" s="644"/>
      <c r="H31" s="644"/>
      <c r="I31" s="646">
        <v>0</v>
      </c>
      <c r="J31" s="646">
        <v>0</v>
      </c>
      <c r="K31" s="644">
        <f>L31+M31</f>
        <v>1875</v>
      </c>
      <c r="L31" s="649">
        <f>(M31/4)*2</f>
        <v>625</v>
      </c>
      <c r="M31" s="645">
        <v>1250</v>
      </c>
      <c r="N31" s="645">
        <v>0</v>
      </c>
      <c r="O31" s="645">
        <v>0</v>
      </c>
      <c r="P31" s="645">
        <v>0</v>
      </c>
      <c r="Q31" s="644"/>
      <c r="R31" s="644"/>
      <c r="S31" s="647"/>
      <c r="V31" s="328"/>
      <c r="W31" s="328"/>
      <c r="X31" s="328"/>
      <c r="Y31" s="328"/>
      <c r="Z31" s="328"/>
    </row>
    <row r="32" spans="1:26" s="327" customFormat="1" ht="15" customHeight="1">
      <c r="A32" s="642">
        <v>19</v>
      </c>
      <c r="B32" s="648" t="s">
        <v>488</v>
      </c>
      <c r="C32" s="644"/>
      <c r="D32" s="644"/>
      <c r="E32" s="645"/>
      <c r="F32" s="645"/>
      <c r="G32" s="644"/>
      <c r="H32" s="644"/>
      <c r="I32" s="646"/>
      <c r="J32" s="646"/>
      <c r="K32" s="644"/>
      <c r="L32" s="644"/>
      <c r="M32" s="645"/>
      <c r="N32" s="645">
        <v>0</v>
      </c>
      <c r="O32" s="645">
        <v>0</v>
      </c>
      <c r="P32" s="645">
        <v>0</v>
      </c>
      <c r="Q32" s="644"/>
      <c r="R32" s="644"/>
      <c r="S32" s="647"/>
      <c r="V32" s="328"/>
      <c r="W32" s="328"/>
      <c r="X32" s="328"/>
      <c r="Y32" s="328"/>
      <c r="Z32" s="328"/>
    </row>
    <row r="33" spans="1:26" s="327" customFormat="1" ht="15" customHeight="1">
      <c r="A33" s="642">
        <v>20</v>
      </c>
      <c r="B33" s="652" t="s">
        <v>361</v>
      </c>
      <c r="C33" s="644"/>
      <c r="D33" s="644"/>
      <c r="E33" s="645"/>
      <c r="F33" s="645"/>
      <c r="G33" s="644"/>
      <c r="H33" s="644"/>
      <c r="I33" s="646"/>
      <c r="J33" s="646"/>
      <c r="K33" s="644"/>
      <c r="L33" s="644"/>
      <c r="M33" s="645"/>
      <c r="N33" s="645">
        <v>0</v>
      </c>
      <c r="O33" s="645">
        <v>0</v>
      </c>
      <c r="P33" s="645">
        <v>0</v>
      </c>
      <c r="Q33" s="644"/>
      <c r="R33" s="644"/>
      <c r="S33" s="647"/>
      <c r="V33" s="328"/>
      <c r="W33" s="328"/>
      <c r="X33" s="328"/>
      <c r="Y33" s="328"/>
      <c r="Z33" s="328"/>
    </row>
    <row r="34" spans="1:26" s="327" customFormat="1" ht="15" customHeight="1">
      <c r="A34" s="642">
        <v>21</v>
      </c>
      <c r="B34" s="651" t="s">
        <v>489</v>
      </c>
      <c r="C34" s="644">
        <f>D34+E34</f>
        <v>9</v>
      </c>
      <c r="D34" s="649">
        <f>(E34/4)*2</f>
        <v>3</v>
      </c>
      <c r="E34" s="645">
        <v>6</v>
      </c>
      <c r="F34" s="645">
        <v>900</v>
      </c>
      <c r="G34" s="644">
        <f>H34+I34</f>
        <v>1.5</v>
      </c>
      <c r="H34" s="649">
        <f>(I34/4)*2</f>
        <v>0.5</v>
      </c>
      <c r="I34" s="646">
        <v>1</v>
      </c>
      <c r="J34" s="646">
        <v>120</v>
      </c>
      <c r="K34" s="644">
        <f>L34+M34</f>
        <v>720</v>
      </c>
      <c r="L34" s="649">
        <f>(M34/4)*2</f>
        <v>240</v>
      </c>
      <c r="M34" s="645">
        <v>480</v>
      </c>
      <c r="N34" s="645">
        <v>0</v>
      </c>
      <c r="O34" s="645">
        <v>0</v>
      </c>
      <c r="P34" s="645">
        <v>0</v>
      </c>
      <c r="Q34" s="644">
        <f>R34+S34</f>
        <v>0</v>
      </c>
      <c r="R34" s="645"/>
      <c r="S34" s="647">
        <v>0</v>
      </c>
      <c r="T34" s="327" t="s">
        <v>635</v>
      </c>
      <c r="V34" s="328"/>
      <c r="W34" s="328"/>
      <c r="X34" s="328"/>
      <c r="Y34" s="328"/>
      <c r="Z34" s="328"/>
    </row>
    <row r="35" spans="1:26" s="332" customFormat="1" ht="36" customHeight="1">
      <c r="A35" s="916" t="s">
        <v>327</v>
      </c>
      <c r="B35" s="917"/>
      <c r="C35" s="653">
        <f aca="true" t="shared" si="9" ref="C35:S35">SUM(C59:C121)</f>
        <v>350167</v>
      </c>
      <c r="D35" s="653">
        <f t="shared" si="9"/>
        <v>106430</v>
      </c>
      <c r="E35" s="653">
        <f t="shared" si="9"/>
        <v>243737</v>
      </c>
      <c r="F35" s="653">
        <f t="shared" si="9"/>
        <v>16736796</v>
      </c>
      <c r="G35" s="653">
        <f t="shared" si="9"/>
        <v>8057</v>
      </c>
      <c r="H35" s="653">
        <f t="shared" si="9"/>
        <v>4898</v>
      </c>
      <c r="I35" s="653">
        <f t="shared" si="9"/>
        <v>3159</v>
      </c>
      <c r="J35" s="653">
        <f t="shared" si="9"/>
        <v>955923</v>
      </c>
      <c r="K35" s="653">
        <f t="shared" si="9"/>
        <v>20548357</v>
      </c>
      <c r="L35" s="653">
        <f t="shared" si="9"/>
        <v>6662290</v>
      </c>
      <c r="M35" s="653">
        <f t="shared" si="9"/>
        <v>13886067</v>
      </c>
      <c r="N35" s="653">
        <f t="shared" si="9"/>
        <v>667852.5</v>
      </c>
      <c r="O35" s="653">
        <f t="shared" si="9"/>
        <v>201403.5</v>
      </c>
      <c r="P35" s="653">
        <f t="shared" si="9"/>
        <v>466449</v>
      </c>
      <c r="Q35" s="653">
        <f t="shared" si="9"/>
        <v>853924.5</v>
      </c>
      <c r="R35" s="653">
        <f t="shared" si="9"/>
        <v>683244.5</v>
      </c>
      <c r="S35" s="653">
        <f t="shared" si="9"/>
        <v>170680</v>
      </c>
      <c r="V35" s="333"/>
      <c r="W35" s="333"/>
      <c r="X35" s="333"/>
      <c r="Y35" s="333"/>
      <c r="Z35" s="333"/>
    </row>
    <row r="36" spans="1:26" s="327" customFormat="1" ht="51" customHeight="1" hidden="1">
      <c r="A36" s="945" t="s">
        <v>325</v>
      </c>
      <c r="B36" s="946"/>
      <c r="C36" s="654">
        <f aca="true" t="shared" si="10" ref="C36:S36">SUM(C37:C57)</f>
        <v>0</v>
      </c>
      <c r="D36" s="654">
        <f t="shared" si="10"/>
        <v>0</v>
      </c>
      <c r="E36" s="654">
        <f t="shared" si="10"/>
        <v>0</v>
      </c>
      <c r="F36" s="654">
        <f t="shared" si="10"/>
        <v>0</v>
      </c>
      <c r="G36" s="654">
        <f t="shared" si="10"/>
        <v>0</v>
      </c>
      <c r="H36" s="654">
        <f t="shared" si="10"/>
        <v>0</v>
      </c>
      <c r="I36" s="654">
        <f t="shared" si="10"/>
        <v>0</v>
      </c>
      <c r="J36" s="654">
        <f t="shared" si="10"/>
        <v>0</v>
      </c>
      <c r="K36" s="654">
        <f t="shared" si="10"/>
        <v>0</v>
      </c>
      <c r="L36" s="654">
        <f t="shared" si="10"/>
        <v>0</v>
      </c>
      <c r="M36" s="654">
        <f t="shared" si="10"/>
        <v>0</v>
      </c>
      <c r="N36" s="654">
        <f t="shared" si="10"/>
        <v>0</v>
      </c>
      <c r="O36" s="654">
        <f t="shared" si="10"/>
        <v>0</v>
      </c>
      <c r="P36" s="654">
        <f t="shared" si="10"/>
        <v>0</v>
      </c>
      <c r="Q36" s="654">
        <f t="shared" si="10"/>
        <v>0</v>
      </c>
      <c r="R36" s="654">
        <f t="shared" si="10"/>
        <v>0</v>
      </c>
      <c r="S36" s="654">
        <f t="shared" si="10"/>
        <v>0</v>
      </c>
      <c r="T36" s="328"/>
      <c r="U36" s="328"/>
      <c r="V36" s="328"/>
      <c r="W36" s="328"/>
      <c r="X36" s="328"/>
      <c r="Y36" s="328"/>
      <c r="Z36" s="328"/>
    </row>
    <row r="37" spans="1:26" s="327" customFormat="1" ht="19.5" customHeight="1" hidden="1">
      <c r="A37" s="655">
        <v>1</v>
      </c>
      <c r="B37" s="656" t="s">
        <v>636</v>
      </c>
      <c r="C37" s="644">
        <f aca="true" t="shared" si="11" ref="C37:C57">D37+E37</f>
        <v>0</v>
      </c>
      <c r="D37" s="657">
        <f aca="true" t="shared" si="12" ref="D37:D57">(E37/4)*2</f>
        <v>0</v>
      </c>
      <c r="E37" s="645"/>
      <c r="F37" s="645"/>
      <c r="G37" s="644">
        <f aca="true" t="shared" si="13" ref="G37:G57">H37+I37</f>
        <v>0</v>
      </c>
      <c r="H37" s="657">
        <f aca="true" t="shared" si="14" ref="H37:H57">(I37/4)*2</f>
        <v>0</v>
      </c>
      <c r="I37" s="646"/>
      <c r="J37" s="646"/>
      <c r="K37" s="644">
        <f aca="true" t="shared" si="15" ref="K37:K57">L37+M37</f>
        <v>0</v>
      </c>
      <c r="L37" s="657">
        <f aca="true" t="shared" si="16" ref="L37:L57">(M37/4)*2</f>
        <v>0</v>
      </c>
      <c r="M37" s="645"/>
      <c r="N37" s="644">
        <f aca="true" t="shared" si="17" ref="N37:N57">O37+P37</f>
        <v>0</v>
      </c>
      <c r="O37" s="657">
        <f aca="true" t="shared" si="18" ref="O37:O57">(P37/4)*2</f>
        <v>0</v>
      </c>
      <c r="P37" s="645"/>
      <c r="Q37" s="644">
        <f aca="true" t="shared" si="19" ref="Q37:Q57">R37+S37</f>
        <v>0</v>
      </c>
      <c r="R37" s="657">
        <f aca="true" t="shared" si="20" ref="R37:R57">(S37/4)*2</f>
        <v>0</v>
      </c>
      <c r="S37" s="645"/>
      <c r="T37" s="328"/>
      <c r="U37" s="328"/>
      <c r="V37" s="328"/>
      <c r="W37" s="328"/>
      <c r="X37" s="328"/>
      <c r="Y37" s="328"/>
      <c r="Z37" s="328"/>
    </row>
    <row r="38" spans="1:26" s="327" customFormat="1" ht="37.5" hidden="1">
      <c r="A38" s="655">
        <v>2</v>
      </c>
      <c r="B38" s="656" t="s">
        <v>637</v>
      </c>
      <c r="C38" s="644">
        <f t="shared" si="11"/>
        <v>0</v>
      </c>
      <c r="D38" s="657">
        <f t="shared" si="12"/>
        <v>0</v>
      </c>
      <c r="E38" s="645"/>
      <c r="F38" s="645"/>
      <c r="G38" s="644">
        <f t="shared" si="13"/>
        <v>0</v>
      </c>
      <c r="H38" s="657">
        <f t="shared" si="14"/>
        <v>0</v>
      </c>
      <c r="I38" s="646"/>
      <c r="J38" s="646"/>
      <c r="K38" s="644">
        <f t="shared" si="15"/>
        <v>0</v>
      </c>
      <c r="L38" s="657">
        <f t="shared" si="16"/>
        <v>0</v>
      </c>
      <c r="M38" s="645"/>
      <c r="N38" s="644">
        <f t="shared" si="17"/>
        <v>0</v>
      </c>
      <c r="O38" s="657">
        <f t="shared" si="18"/>
        <v>0</v>
      </c>
      <c r="P38" s="645"/>
      <c r="Q38" s="644">
        <f t="shared" si="19"/>
        <v>0</v>
      </c>
      <c r="R38" s="657">
        <f t="shared" si="20"/>
        <v>0</v>
      </c>
      <c r="S38" s="645"/>
      <c r="T38" s="328"/>
      <c r="U38" s="328"/>
      <c r="V38" s="328"/>
      <c r="W38" s="328"/>
      <c r="X38" s="328"/>
      <c r="Y38" s="328"/>
      <c r="Z38" s="328"/>
    </row>
    <row r="39" spans="1:26" s="327" customFormat="1" ht="37.5" hidden="1">
      <c r="A39" s="655">
        <v>3</v>
      </c>
      <c r="B39" s="656" t="s">
        <v>638</v>
      </c>
      <c r="C39" s="644">
        <f t="shared" si="11"/>
        <v>0</v>
      </c>
      <c r="D39" s="657">
        <f t="shared" si="12"/>
        <v>0</v>
      </c>
      <c r="E39" s="645"/>
      <c r="F39" s="645"/>
      <c r="G39" s="644">
        <f t="shared" si="13"/>
        <v>0</v>
      </c>
      <c r="H39" s="657">
        <f t="shared" si="14"/>
        <v>0</v>
      </c>
      <c r="I39" s="646"/>
      <c r="J39" s="646"/>
      <c r="K39" s="644">
        <f t="shared" si="15"/>
        <v>0</v>
      </c>
      <c r="L39" s="657">
        <f t="shared" si="16"/>
        <v>0</v>
      </c>
      <c r="M39" s="645"/>
      <c r="N39" s="644">
        <f t="shared" si="17"/>
        <v>0</v>
      </c>
      <c r="O39" s="657">
        <f t="shared" si="18"/>
        <v>0</v>
      </c>
      <c r="P39" s="645"/>
      <c r="Q39" s="644">
        <f t="shared" si="19"/>
        <v>0</v>
      </c>
      <c r="R39" s="657">
        <f t="shared" si="20"/>
        <v>0</v>
      </c>
      <c r="S39" s="645"/>
      <c r="T39" s="328"/>
      <c r="U39" s="328"/>
      <c r="V39" s="328"/>
      <c r="W39" s="328"/>
      <c r="X39" s="328"/>
      <c r="Y39" s="328"/>
      <c r="Z39" s="328"/>
    </row>
    <row r="40" spans="1:26" s="327" customFormat="1" ht="37.5" hidden="1">
      <c r="A40" s="655">
        <v>4</v>
      </c>
      <c r="B40" s="656" t="s">
        <v>465</v>
      </c>
      <c r="C40" s="644">
        <f t="shared" si="11"/>
        <v>0</v>
      </c>
      <c r="D40" s="657">
        <f t="shared" si="12"/>
        <v>0</v>
      </c>
      <c r="E40" s="645"/>
      <c r="F40" s="645"/>
      <c r="G40" s="644">
        <f t="shared" si="13"/>
        <v>0</v>
      </c>
      <c r="H40" s="657">
        <f t="shared" si="14"/>
        <v>0</v>
      </c>
      <c r="I40" s="646"/>
      <c r="J40" s="646"/>
      <c r="K40" s="644">
        <f t="shared" si="15"/>
        <v>0</v>
      </c>
      <c r="L40" s="657">
        <f t="shared" si="16"/>
        <v>0</v>
      </c>
      <c r="M40" s="645"/>
      <c r="N40" s="644">
        <f t="shared" si="17"/>
        <v>0</v>
      </c>
      <c r="O40" s="657">
        <f t="shared" si="18"/>
        <v>0</v>
      </c>
      <c r="P40" s="645"/>
      <c r="Q40" s="644">
        <f t="shared" si="19"/>
        <v>0</v>
      </c>
      <c r="R40" s="657">
        <f t="shared" si="20"/>
        <v>0</v>
      </c>
      <c r="S40" s="645"/>
      <c r="T40" s="328"/>
      <c r="U40" s="328"/>
      <c r="V40" s="328"/>
      <c r="W40" s="328"/>
      <c r="X40" s="328"/>
      <c r="Y40" s="328"/>
      <c r="Z40" s="328"/>
    </row>
    <row r="41" spans="1:26" s="327" customFormat="1" ht="37.5" hidden="1">
      <c r="A41" s="655">
        <v>5</v>
      </c>
      <c r="B41" s="656" t="s">
        <v>355</v>
      </c>
      <c r="C41" s="644">
        <f t="shared" si="11"/>
        <v>0</v>
      </c>
      <c r="D41" s="657">
        <f t="shared" si="12"/>
        <v>0</v>
      </c>
      <c r="E41" s="645"/>
      <c r="F41" s="645"/>
      <c r="G41" s="644">
        <f t="shared" si="13"/>
        <v>0</v>
      </c>
      <c r="H41" s="657">
        <f t="shared" si="14"/>
        <v>0</v>
      </c>
      <c r="I41" s="646"/>
      <c r="J41" s="646"/>
      <c r="K41" s="644">
        <f t="shared" si="15"/>
        <v>0</v>
      </c>
      <c r="L41" s="657">
        <f t="shared" si="16"/>
        <v>0</v>
      </c>
      <c r="M41" s="645"/>
      <c r="N41" s="644">
        <f t="shared" si="17"/>
        <v>0</v>
      </c>
      <c r="O41" s="657">
        <f t="shared" si="18"/>
        <v>0</v>
      </c>
      <c r="P41" s="645"/>
      <c r="Q41" s="644">
        <f t="shared" si="19"/>
        <v>0</v>
      </c>
      <c r="R41" s="657">
        <f t="shared" si="20"/>
        <v>0</v>
      </c>
      <c r="S41" s="645"/>
      <c r="T41" s="328"/>
      <c r="U41" s="328"/>
      <c r="V41" s="328"/>
      <c r="W41" s="328"/>
      <c r="X41" s="328"/>
      <c r="Y41" s="328"/>
      <c r="Z41" s="328"/>
    </row>
    <row r="42" spans="1:26" s="327" customFormat="1" ht="37.5" hidden="1">
      <c r="A42" s="655">
        <v>6</v>
      </c>
      <c r="B42" s="656" t="s">
        <v>356</v>
      </c>
      <c r="C42" s="644">
        <f t="shared" si="11"/>
        <v>0</v>
      </c>
      <c r="D42" s="657">
        <f t="shared" si="12"/>
        <v>0</v>
      </c>
      <c r="E42" s="645"/>
      <c r="F42" s="645"/>
      <c r="G42" s="644">
        <f t="shared" si="13"/>
        <v>0</v>
      </c>
      <c r="H42" s="657">
        <f t="shared" si="14"/>
        <v>0</v>
      </c>
      <c r="I42" s="646"/>
      <c r="J42" s="646"/>
      <c r="K42" s="644">
        <f t="shared" si="15"/>
        <v>0</v>
      </c>
      <c r="L42" s="657">
        <f t="shared" si="16"/>
        <v>0</v>
      </c>
      <c r="M42" s="645"/>
      <c r="N42" s="644">
        <f t="shared" si="17"/>
        <v>0</v>
      </c>
      <c r="O42" s="657">
        <f t="shared" si="18"/>
        <v>0</v>
      </c>
      <c r="P42" s="645"/>
      <c r="Q42" s="644">
        <f t="shared" si="19"/>
        <v>0</v>
      </c>
      <c r="R42" s="657">
        <f t="shared" si="20"/>
        <v>0</v>
      </c>
      <c r="S42" s="645"/>
      <c r="T42" s="328"/>
      <c r="U42" s="328"/>
      <c r="V42" s="328"/>
      <c r="W42" s="328"/>
      <c r="X42" s="328"/>
      <c r="Y42" s="328"/>
      <c r="Z42" s="328"/>
    </row>
    <row r="43" spans="1:26" s="327" customFormat="1" ht="56.25" hidden="1">
      <c r="A43" s="655">
        <v>7</v>
      </c>
      <c r="B43" s="656" t="s">
        <v>639</v>
      </c>
      <c r="C43" s="644">
        <f t="shared" si="11"/>
        <v>0</v>
      </c>
      <c r="D43" s="657">
        <f t="shared" si="12"/>
        <v>0</v>
      </c>
      <c r="E43" s="645"/>
      <c r="F43" s="645"/>
      <c r="G43" s="644">
        <f t="shared" si="13"/>
        <v>0</v>
      </c>
      <c r="H43" s="657">
        <f t="shared" si="14"/>
        <v>0</v>
      </c>
      <c r="I43" s="646"/>
      <c r="J43" s="646"/>
      <c r="K43" s="644">
        <f t="shared" si="15"/>
        <v>0</v>
      </c>
      <c r="L43" s="657">
        <f t="shared" si="16"/>
        <v>0</v>
      </c>
      <c r="M43" s="645"/>
      <c r="N43" s="644">
        <f t="shared" si="17"/>
        <v>0</v>
      </c>
      <c r="O43" s="657">
        <f t="shared" si="18"/>
        <v>0</v>
      </c>
      <c r="P43" s="645"/>
      <c r="Q43" s="644">
        <f t="shared" si="19"/>
        <v>0</v>
      </c>
      <c r="R43" s="657">
        <f t="shared" si="20"/>
        <v>0</v>
      </c>
      <c r="S43" s="645"/>
      <c r="T43" s="328"/>
      <c r="U43" s="328"/>
      <c r="V43" s="328"/>
      <c r="W43" s="328"/>
      <c r="X43" s="328"/>
      <c r="Y43" s="328"/>
      <c r="Z43" s="328"/>
    </row>
    <row r="44" spans="1:26" s="327" customFormat="1" ht="19.5" customHeight="1" hidden="1">
      <c r="A44" s="655">
        <v>8</v>
      </c>
      <c r="B44" s="656" t="s">
        <v>640</v>
      </c>
      <c r="C44" s="644">
        <f t="shared" si="11"/>
        <v>0</v>
      </c>
      <c r="D44" s="657">
        <f t="shared" si="12"/>
        <v>0</v>
      </c>
      <c r="E44" s="645"/>
      <c r="F44" s="645"/>
      <c r="G44" s="644">
        <f t="shared" si="13"/>
        <v>0</v>
      </c>
      <c r="H44" s="657">
        <f t="shared" si="14"/>
        <v>0</v>
      </c>
      <c r="I44" s="646"/>
      <c r="J44" s="646"/>
      <c r="K44" s="644">
        <f t="shared" si="15"/>
        <v>0</v>
      </c>
      <c r="L44" s="657">
        <f t="shared" si="16"/>
        <v>0</v>
      </c>
      <c r="M44" s="645"/>
      <c r="N44" s="644">
        <f t="shared" si="17"/>
        <v>0</v>
      </c>
      <c r="O44" s="657">
        <f t="shared" si="18"/>
        <v>0</v>
      </c>
      <c r="P44" s="645"/>
      <c r="Q44" s="644">
        <f t="shared" si="19"/>
        <v>0</v>
      </c>
      <c r="R44" s="657">
        <f t="shared" si="20"/>
        <v>0</v>
      </c>
      <c r="S44" s="645"/>
      <c r="T44" s="328"/>
      <c r="U44" s="328"/>
      <c r="V44" s="328"/>
      <c r="W44" s="328"/>
      <c r="X44" s="328"/>
      <c r="Y44" s="328"/>
      <c r="Z44" s="328"/>
    </row>
    <row r="45" spans="1:26" s="327" customFormat="1" ht="19.5" customHeight="1" hidden="1">
      <c r="A45" s="655">
        <v>9</v>
      </c>
      <c r="B45" s="656" t="s">
        <v>641</v>
      </c>
      <c r="C45" s="644">
        <f t="shared" si="11"/>
        <v>0</v>
      </c>
      <c r="D45" s="657">
        <f t="shared" si="12"/>
        <v>0</v>
      </c>
      <c r="E45" s="645"/>
      <c r="F45" s="645"/>
      <c r="G45" s="644">
        <f t="shared" si="13"/>
        <v>0</v>
      </c>
      <c r="H45" s="657">
        <f t="shared" si="14"/>
        <v>0</v>
      </c>
      <c r="I45" s="646"/>
      <c r="J45" s="646"/>
      <c r="K45" s="644">
        <f t="shared" si="15"/>
        <v>0</v>
      </c>
      <c r="L45" s="657">
        <f t="shared" si="16"/>
        <v>0</v>
      </c>
      <c r="M45" s="645"/>
      <c r="N45" s="644">
        <f t="shared" si="17"/>
        <v>0</v>
      </c>
      <c r="O45" s="657">
        <f t="shared" si="18"/>
        <v>0</v>
      </c>
      <c r="P45" s="645"/>
      <c r="Q45" s="644">
        <f t="shared" si="19"/>
        <v>0</v>
      </c>
      <c r="R45" s="657">
        <f t="shared" si="20"/>
        <v>0</v>
      </c>
      <c r="S45" s="645"/>
      <c r="T45" s="328"/>
      <c r="U45" s="328"/>
      <c r="V45" s="328"/>
      <c r="W45" s="328"/>
      <c r="X45" s="328"/>
      <c r="Y45" s="328"/>
      <c r="Z45" s="328"/>
    </row>
    <row r="46" spans="1:26" s="327" customFormat="1" ht="75" hidden="1">
      <c r="A46" s="655">
        <v>10</v>
      </c>
      <c r="B46" s="656" t="s">
        <v>642</v>
      </c>
      <c r="C46" s="644">
        <f t="shared" si="11"/>
        <v>0</v>
      </c>
      <c r="D46" s="657">
        <f t="shared" si="12"/>
        <v>0</v>
      </c>
      <c r="E46" s="645"/>
      <c r="F46" s="645"/>
      <c r="G46" s="644">
        <f t="shared" si="13"/>
        <v>0</v>
      </c>
      <c r="H46" s="657">
        <f t="shared" si="14"/>
        <v>0</v>
      </c>
      <c r="I46" s="646"/>
      <c r="J46" s="646"/>
      <c r="K46" s="644">
        <f t="shared" si="15"/>
        <v>0</v>
      </c>
      <c r="L46" s="657">
        <f t="shared" si="16"/>
        <v>0</v>
      </c>
      <c r="M46" s="645"/>
      <c r="N46" s="644">
        <f t="shared" si="17"/>
        <v>0</v>
      </c>
      <c r="O46" s="657">
        <f t="shared" si="18"/>
        <v>0</v>
      </c>
      <c r="P46" s="645"/>
      <c r="Q46" s="644">
        <f t="shared" si="19"/>
        <v>0</v>
      </c>
      <c r="R46" s="657">
        <f t="shared" si="20"/>
        <v>0</v>
      </c>
      <c r="S46" s="645"/>
      <c r="T46" s="328"/>
      <c r="U46" s="328"/>
      <c r="V46" s="328"/>
      <c r="W46" s="328"/>
      <c r="X46" s="328"/>
      <c r="Y46" s="328"/>
      <c r="Z46" s="328"/>
    </row>
    <row r="47" spans="1:26" s="327" customFormat="1" ht="19.5" customHeight="1" hidden="1">
      <c r="A47" s="655">
        <v>11</v>
      </c>
      <c r="B47" s="656" t="s">
        <v>447</v>
      </c>
      <c r="C47" s="644">
        <f t="shared" si="11"/>
        <v>0</v>
      </c>
      <c r="D47" s="657">
        <f t="shared" si="12"/>
        <v>0</v>
      </c>
      <c r="E47" s="645"/>
      <c r="F47" s="645"/>
      <c r="G47" s="644">
        <f t="shared" si="13"/>
        <v>0</v>
      </c>
      <c r="H47" s="657">
        <f t="shared" si="14"/>
        <v>0</v>
      </c>
      <c r="I47" s="646"/>
      <c r="J47" s="646"/>
      <c r="K47" s="644">
        <f t="shared" si="15"/>
        <v>0</v>
      </c>
      <c r="L47" s="657">
        <f t="shared" si="16"/>
        <v>0</v>
      </c>
      <c r="M47" s="645"/>
      <c r="N47" s="644">
        <f t="shared" si="17"/>
        <v>0</v>
      </c>
      <c r="O47" s="657">
        <f t="shared" si="18"/>
        <v>0</v>
      </c>
      <c r="P47" s="645"/>
      <c r="Q47" s="644">
        <f t="shared" si="19"/>
        <v>0</v>
      </c>
      <c r="R47" s="657">
        <f t="shared" si="20"/>
        <v>0</v>
      </c>
      <c r="S47" s="645"/>
      <c r="T47" s="328"/>
      <c r="U47" s="328"/>
      <c r="V47" s="328"/>
      <c r="W47" s="328"/>
      <c r="X47" s="328"/>
      <c r="Y47" s="328"/>
      <c r="Z47" s="328"/>
    </row>
    <row r="48" spans="1:26" s="327" customFormat="1" ht="19.5" customHeight="1" hidden="1">
      <c r="A48" s="655">
        <v>12</v>
      </c>
      <c r="B48" s="656" t="s">
        <v>357</v>
      </c>
      <c r="C48" s="644">
        <f t="shared" si="11"/>
        <v>0</v>
      </c>
      <c r="D48" s="657">
        <f t="shared" si="12"/>
        <v>0</v>
      </c>
      <c r="E48" s="645"/>
      <c r="F48" s="645"/>
      <c r="G48" s="644">
        <f t="shared" si="13"/>
        <v>0</v>
      </c>
      <c r="H48" s="657">
        <f t="shared" si="14"/>
        <v>0</v>
      </c>
      <c r="I48" s="646"/>
      <c r="J48" s="646"/>
      <c r="K48" s="644">
        <f t="shared" si="15"/>
        <v>0</v>
      </c>
      <c r="L48" s="657">
        <f t="shared" si="16"/>
        <v>0</v>
      </c>
      <c r="M48" s="645"/>
      <c r="N48" s="644">
        <f t="shared" si="17"/>
        <v>0</v>
      </c>
      <c r="O48" s="657">
        <f t="shared" si="18"/>
        <v>0</v>
      </c>
      <c r="P48" s="645"/>
      <c r="Q48" s="644">
        <f t="shared" si="19"/>
        <v>0</v>
      </c>
      <c r="R48" s="657">
        <f t="shared" si="20"/>
        <v>0</v>
      </c>
      <c r="S48" s="645"/>
      <c r="T48" s="328"/>
      <c r="U48" s="328"/>
      <c r="V48" s="328"/>
      <c r="W48" s="328"/>
      <c r="X48" s="328"/>
      <c r="Y48" s="328"/>
      <c r="Z48" s="328"/>
    </row>
    <row r="49" spans="1:26" s="327" customFormat="1" ht="37.5" hidden="1">
      <c r="A49" s="655">
        <v>13</v>
      </c>
      <c r="B49" s="656" t="s">
        <v>358</v>
      </c>
      <c r="C49" s="644">
        <f t="shared" si="11"/>
        <v>0</v>
      </c>
      <c r="D49" s="657">
        <f t="shared" si="12"/>
        <v>0</v>
      </c>
      <c r="E49" s="645"/>
      <c r="F49" s="645"/>
      <c r="G49" s="644">
        <f t="shared" si="13"/>
        <v>0</v>
      </c>
      <c r="H49" s="657">
        <f t="shared" si="14"/>
        <v>0</v>
      </c>
      <c r="I49" s="646"/>
      <c r="J49" s="646"/>
      <c r="K49" s="644">
        <f t="shared" si="15"/>
        <v>0</v>
      </c>
      <c r="L49" s="657">
        <f t="shared" si="16"/>
        <v>0</v>
      </c>
      <c r="M49" s="645"/>
      <c r="N49" s="644">
        <f t="shared" si="17"/>
        <v>0</v>
      </c>
      <c r="O49" s="657">
        <f t="shared" si="18"/>
        <v>0</v>
      </c>
      <c r="P49" s="645"/>
      <c r="Q49" s="644">
        <f t="shared" si="19"/>
        <v>0</v>
      </c>
      <c r="R49" s="657">
        <f t="shared" si="20"/>
        <v>0</v>
      </c>
      <c r="S49" s="645"/>
      <c r="T49" s="328"/>
      <c r="U49" s="328"/>
      <c r="V49" s="328"/>
      <c r="W49" s="328"/>
      <c r="X49" s="328"/>
      <c r="Y49" s="328"/>
      <c r="Z49" s="328"/>
    </row>
    <row r="50" spans="1:26" s="327" customFormat="1" ht="56.25" hidden="1">
      <c r="A50" s="655">
        <v>14</v>
      </c>
      <c r="B50" s="656" t="s">
        <v>359</v>
      </c>
      <c r="C50" s="644">
        <f t="shared" si="11"/>
        <v>0</v>
      </c>
      <c r="D50" s="657">
        <f t="shared" si="12"/>
        <v>0</v>
      </c>
      <c r="E50" s="645"/>
      <c r="F50" s="645"/>
      <c r="G50" s="644">
        <f t="shared" si="13"/>
        <v>0</v>
      </c>
      <c r="H50" s="657">
        <f t="shared" si="14"/>
        <v>0</v>
      </c>
      <c r="I50" s="646"/>
      <c r="J50" s="646"/>
      <c r="K50" s="644">
        <f t="shared" si="15"/>
        <v>0</v>
      </c>
      <c r="L50" s="657">
        <f t="shared" si="16"/>
        <v>0</v>
      </c>
      <c r="M50" s="645"/>
      <c r="N50" s="644">
        <f t="shared" si="17"/>
        <v>0</v>
      </c>
      <c r="O50" s="657">
        <f t="shared" si="18"/>
        <v>0</v>
      </c>
      <c r="P50" s="645"/>
      <c r="Q50" s="644">
        <f t="shared" si="19"/>
        <v>0</v>
      </c>
      <c r="R50" s="657">
        <f t="shared" si="20"/>
        <v>0</v>
      </c>
      <c r="S50" s="645"/>
      <c r="T50" s="328"/>
      <c r="U50" s="328"/>
      <c r="V50" s="328"/>
      <c r="W50" s="328"/>
      <c r="X50" s="328"/>
      <c r="Y50" s="328"/>
      <c r="Z50" s="328"/>
    </row>
    <row r="51" spans="1:26" s="327" customFormat="1" ht="19.5" customHeight="1" hidden="1">
      <c r="A51" s="655">
        <v>15</v>
      </c>
      <c r="B51" s="656" t="s">
        <v>643</v>
      </c>
      <c r="C51" s="644">
        <f t="shared" si="11"/>
        <v>0</v>
      </c>
      <c r="D51" s="657">
        <f t="shared" si="12"/>
        <v>0</v>
      </c>
      <c r="E51" s="645"/>
      <c r="F51" s="645"/>
      <c r="G51" s="644">
        <f t="shared" si="13"/>
        <v>0</v>
      </c>
      <c r="H51" s="657">
        <f t="shared" si="14"/>
        <v>0</v>
      </c>
      <c r="I51" s="646"/>
      <c r="J51" s="646"/>
      <c r="K51" s="644">
        <f t="shared" si="15"/>
        <v>0</v>
      </c>
      <c r="L51" s="657">
        <f t="shared" si="16"/>
        <v>0</v>
      </c>
      <c r="M51" s="645"/>
      <c r="N51" s="644">
        <f t="shared" si="17"/>
        <v>0</v>
      </c>
      <c r="O51" s="657">
        <f t="shared" si="18"/>
        <v>0</v>
      </c>
      <c r="P51" s="645"/>
      <c r="Q51" s="644">
        <f t="shared" si="19"/>
        <v>0</v>
      </c>
      <c r="R51" s="657">
        <f t="shared" si="20"/>
        <v>0</v>
      </c>
      <c r="S51" s="645"/>
      <c r="T51" s="328"/>
      <c r="U51" s="328"/>
      <c r="V51" s="328"/>
      <c r="W51" s="328"/>
      <c r="X51" s="328"/>
      <c r="Y51" s="328"/>
      <c r="Z51" s="328"/>
    </row>
    <row r="52" spans="1:26" s="327" customFormat="1" ht="56.25" hidden="1">
      <c r="A52" s="655">
        <v>16</v>
      </c>
      <c r="B52" s="656" t="s">
        <v>644</v>
      </c>
      <c r="C52" s="644">
        <f t="shared" si="11"/>
        <v>0</v>
      </c>
      <c r="D52" s="657">
        <f t="shared" si="12"/>
        <v>0</v>
      </c>
      <c r="E52" s="645"/>
      <c r="F52" s="645"/>
      <c r="G52" s="644">
        <f t="shared" si="13"/>
        <v>0</v>
      </c>
      <c r="H52" s="657">
        <f t="shared" si="14"/>
        <v>0</v>
      </c>
      <c r="I52" s="646"/>
      <c r="J52" s="646"/>
      <c r="K52" s="644">
        <f t="shared" si="15"/>
        <v>0</v>
      </c>
      <c r="L52" s="657">
        <f t="shared" si="16"/>
        <v>0</v>
      </c>
      <c r="M52" s="645"/>
      <c r="N52" s="644">
        <f t="shared" si="17"/>
        <v>0</v>
      </c>
      <c r="O52" s="657">
        <f t="shared" si="18"/>
        <v>0</v>
      </c>
      <c r="P52" s="645"/>
      <c r="Q52" s="644">
        <f t="shared" si="19"/>
        <v>0</v>
      </c>
      <c r="R52" s="657">
        <f t="shared" si="20"/>
        <v>0</v>
      </c>
      <c r="S52" s="645"/>
      <c r="T52" s="328"/>
      <c r="U52" s="328"/>
      <c r="V52" s="328"/>
      <c r="W52" s="328"/>
      <c r="X52" s="328"/>
      <c r="Y52" s="328"/>
      <c r="Z52" s="328"/>
    </row>
    <row r="53" spans="1:26" s="327" customFormat="1" ht="19.5" customHeight="1" hidden="1">
      <c r="A53" s="655">
        <v>17</v>
      </c>
      <c r="B53" s="656" t="s">
        <v>645</v>
      </c>
      <c r="C53" s="644">
        <f t="shared" si="11"/>
        <v>0</v>
      </c>
      <c r="D53" s="657">
        <f t="shared" si="12"/>
        <v>0</v>
      </c>
      <c r="E53" s="645"/>
      <c r="F53" s="645"/>
      <c r="G53" s="644">
        <f t="shared" si="13"/>
        <v>0</v>
      </c>
      <c r="H53" s="657">
        <f t="shared" si="14"/>
        <v>0</v>
      </c>
      <c r="I53" s="646"/>
      <c r="J53" s="646"/>
      <c r="K53" s="644">
        <f t="shared" si="15"/>
        <v>0</v>
      </c>
      <c r="L53" s="657">
        <f t="shared" si="16"/>
        <v>0</v>
      </c>
      <c r="M53" s="645"/>
      <c r="N53" s="644">
        <f t="shared" si="17"/>
        <v>0</v>
      </c>
      <c r="O53" s="657">
        <f t="shared" si="18"/>
        <v>0</v>
      </c>
      <c r="P53" s="645"/>
      <c r="Q53" s="644">
        <f t="shared" si="19"/>
        <v>0</v>
      </c>
      <c r="R53" s="657">
        <f t="shared" si="20"/>
        <v>0</v>
      </c>
      <c r="S53" s="645"/>
      <c r="T53" s="328"/>
      <c r="U53" s="328"/>
      <c r="V53" s="328"/>
      <c r="W53" s="328"/>
      <c r="X53" s="328"/>
      <c r="Y53" s="328"/>
      <c r="Z53" s="328"/>
    </row>
    <row r="54" spans="1:26" s="327" customFormat="1" ht="19.5" customHeight="1" hidden="1">
      <c r="A54" s="655">
        <v>18</v>
      </c>
      <c r="B54" s="656" t="s">
        <v>360</v>
      </c>
      <c r="C54" s="644">
        <f t="shared" si="11"/>
        <v>0</v>
      </c>
      <c r="D54" s="657">
        <f t="shared" si="12"/>
        <v>0</v>
      </c>
      <c r="E54" s="645"/>
      <c r="F54" s="645"/>
      <c r="G54" s="644">
        <f t="shared" si="13"/>
        <v>0</v>
      </c>
      <c r="H54" s="657">
        <f t="shared" si="14"/>
        <v>0</v>
      </c>
      <c r="I54" s="646"/>
      <c r="J54" s="646"/>
      <c r="K54" s="644">
        <f t="shared" si="15"/>
        <v>0</v>
      </c>
      <c r="L54" s="657">
        <f t="shared" si="16"/>
        <v>0</v>
      </c>
      <c r="M54" s="645"/>
      <c r="N54" s="644">
        <f t="shared" si="17"/>
        <v>0</v>
      </c>
      <c r="O54" s="657">
        <f t="shared" si="18"/>
        <v>0</v>
      </c>
      <c r="P54" s="645"/>
      <c r="Q54" s="644">
        <f t="shared" si="19"/>
        <v>0</v>
      </c>
      <c r="R54" s="657">
        <f t="shared" si="20"/>
        <v>0</v>
      </c>
      <c r="S54" s="645"/>
      <c r="T54" s="328"/>
      <c r="U54" s="328"/>
      <c r="V54" s="328"/>
      <c r="W54" s="328"/>
      <c r="X54" s="328"/>
      <c r="Y54" s="328"/>
      <c r="Z54" s="328"/>
    </row>
    <row r="55" spans="1:26" s="327" customFormat="1" ht="37.5" hidden="1">
      <c r="A55" s="655">
        <v>19</v>
      </c>
      <c r="B55" s="658" t="s">
        <v>646</v>
      </c>
      <c r="C55" s="644">
        <f t="shared" si="11"/>
        <v>0</v>
      </c>
      <c r="D55" s="657">
        <f t="shared" si="12"/>
        <v>0</v>
      </c>
      <c r="E55" s="645"/>
      <c r="F55" s="645"/>
      <c r="G55" s="644">
        <f t="shared" si="13"/>
        <v>0</v>
      </c>
      <c r="H55" s="657">
        <f t="shared" si="14"/>
        <v>0</v>
      </c>
      <c r="I55" s="646"/>
      <c r="J55" s="646"/>
      <c r="K55" s="644">
        <f t="shared" si="15"/>
        <v>0</v>
      </c>
      <c r="L55" s="657">
        <f t="shared" si="16"/>
        <v>0</v>
      </c>
      <c r="M55" s="645"/>
      <c r="N55" s="644">
        <f t="shared" si="17"/>
        <v>0</v>
      </c>
      <c r="O55" s="657">
        <f t="shared" si="18"/>
        <v>0</v>
      </c>
      <c r="P55" s="645"/>
      <c r="Q55" s="644">
        <f t="shared" si="19"/>
        <v>0</v>
      </c>
      <c r="R55" s="657">
        <f t="shared" si="20"/>
        <v>0</v>
      </c>
      <c r="S55" s="645"/>
      <c r="T55" s="328"/>
      <c r="U55" s="328"/>
      <c r="V55" s="328"/>
      <c r="W55" s="328"/>
      <c r="X55" s="328"/>
      <c r="Y55" s="328"/>
      <c r="Z55" s="328"/>
    </row>
    <row r="56" spans="1:26" s="327" customFormat="1" ht="37.5" hidden="1">
      <c r="A56" s="655">
        <v>20</v>
      </c>
      <c r="B56" s="658" t="s">
        <v>361</v>
      </c>
      <c r="C56" s="644">
        <f t="shared" si="11"/>
        <v>0</v>
      </c>
      <c r="D56" s="657">
        <f t="shared" si="12"/>
        <v>0</v>
      </c>
      <c r="E56" s="645"/>
      <c r="F56" s="645"/>
      <c r="G56" s="644">
        <f t="shared" si="13"/>
        <v>0</v>
      </c>
      <c r="H56" s="657">
        <f t="shared" si="14"/>
        <v>0</v>
      </c>
      <c r="I56" s="646"/>
      <c r="J56" s="646"/>
      <c r="K56" s="644">
        <f t="shared" si="15"/>
        <v>0</v>
      </c>
      <c r="L56" s="657">
        <f t="shared" si="16"/>
        <v>0</v>
      </c>
      <c r="M56" s="645"/>
      <c r="N56" s="644">
        <f t="shared" si="17"/>
        <v>0</v>
      </c>
      <c r="O56" s="657">
        <f t="shared" si="18"/>
        <v>0</v>
      </c>
      <c r="P56" s="645"/>
      <c r="Q56" s="644">
        <f t="shared" si="19"/>
        <v>0</v>
      </c>
      <c r="R56" s="657">
        <f t="shared" si="20"/>
        <v>0</v>
      </c>
      <c r="S56" s="645"/>
      <c r="T56" s="328"/>
      <c r="U56" s="328"/>
      <c r="V56" s="328"/>
      <c r="W56" s="328"/>
      <c r="X56" s="328"/>
      <c r="Y56" s="328"/>
      <c r="Z56" s="328"/>
    </row>
    <row r="57" spans="1:26" s="327" customFormat="1" ht="19.5" customHeight="1" hidden="1">
      <c r="A57" s="655">
        <v>21</v>
      </c>
      <c r="B57" s="658" t="s">
        <v>448</v>
      </c>
      <c r="C57" s="644">
        <f t="shared" si="11"/>
        <v>0</v>
      </c>
      <c r="D57" s="657">
        <f t="shared" si="12"/>
        <v>0</v>
      </c>
      <c r="E57" s="645"/>
      <c r="F57" s="645"/>
      <c r="G57" s="644">
        <f t="shared" si="13"/>
        <v>0</v>
      </c>
      <c r="H57" s="657">
        <f t="shared" si="14"/>
        <v>0</v>
      </c>
      <c r="I57" s="646"/>
      <c r="J57" s="646"/>
      <c r="K57" s="644">
        <f t="shared" si="15"/>
        <v>0</v>
      </c>
      <c r="L57" s="657">
        <f t="shared" si="16"/>
        <v>0</v>
      </c>
      <c r="M57" s="645"/>
      <c r="N57" s="644">
        <f t="shared" si="17"/>
        <v>0</v>
      </c>
      <c r="O57" s="657">
        <f t="shared" si="18"/>
        <v>0</v>
      </c>
      <c r="P57" s="645"/>
      <c r="Q57" s="644">
        <f t="shared" si="19"/>
        <v>0</v>
      </c>
      <c r="R57" s="657">
        <f t="shared" si="20"/>
        <v>0</v>
      </c>
      <c r="S57" s="645"/>
      <c r="T57" s="328"/>
      <c r="U57" s="328"/>
      <c r="V57" s="328"/>
      <c r="W57" s="328"/>
      <c r="X57" s="328"/>
      <c r="Y57" s="328"/>
      <c r="Z57" s="328"/>
    </row>
    <row r="58" spans="1:26" s="335" customFormat="1" ht="29.25" customHeight="1" hidden="1">
      <c r="A58" s="947" t="s">
        <v>647</v>
      </c>
      <c r="B58" s="948"/>
      <c r="C58" s="659">
        <f aca="true" t="shared" si="21" ref="C58:S58">SUM(C59:C121)</f>
        <v>350167</v>
      </c>
      <c r="D58" s="659">
        <f t="shared" si="21"/>
        <v>106430</v>
      </c>
      <c r="E58" s="659">
        <f t="shared" si="21"/>
        <v>243737</v>
      </c>
      <c r="F58" s="659">
        <f t="shared" si="21"/>
        <v>16736796</v>
      </c>
      <c r="G58" s="659">
        <f t="shared" si="21"/>
        <v>8057</v>
      </c>
      <c r="H58" s="659">
        <f t="shared" si="21"/>
        <v>4898</v>
      </c>
      <c r="I58" s="659">
        <f t="shared" si="21"/>
        <v>3159</v>
      </c>
      <c r="J58" s="659">
        <f t="shared" si="21"/>
        <v>955923</v>
      </c>
      <c r="K58" s="659">
        <f t="shared" si="21"/>
        <v>20548357</v>
      </c>
      <c r="L58" s="659">
        <f t="shared" si="21"/>
        <v>6662290</v>
      </c>
      <c r="M58" s="659">
        <f t="shared" si="21"/>
        <v>13886067</v>
      </c>
      <c r="N58" s="659">
        <f t="shared" si="21"/>
        <v>667852.5</v>
      </c>
      <c r="O58" s="659">
        <f t="shared" si="21"/>
        <v>201403.5</v>
      </c>
      <c r="P58" s="659">
        <f t="shared" si="21"/>
        <v>466449</v>
      </c>
      <c r="Q58" s="659">
        <f t="shared" si="21"/>
        <v>853924.5</v>
      </c>
      <c r="R58" s="659">
        <f t="shared" si="21"/>
        <v>683244.5</v>
      </c>
      <c r="S58" s="659">
        <f t="shared" si="21"/>
        <v>170680</v>
      </c>
      <c r="V58" s="336"/>
      <c r="W58" s="336"/>
      <c r="X58" s="336"/>
      <c r="Y58" s="336"/>
      <c r="Z58" s="336"/>
    </row>
    <row r="59" spans="1:26" s="327" customFormat="1" ht="29.25" customHeight="1">
      <c r="A59" s="660">
        <v>1</v>
      </c>
      <c r="B59" s="661" t="s">
        <v>449</v>
      </c>
      <c r="C59" s="644">
        <f aca="true" t="shared" si="22" ref="C59:C90">D59+E59</f>
        <v>5976</v>
      </c>
      <c r="D59" s="645">
        <v>1499</v>
      </c>
      <c r="E59" s="645">
        <v>4477</v>
      </c>
      <c r="F59" s="645">
        <v>168340</v>
      </c>
      <c r="G59" s="644">
        <f aca="true" t="shared" si="23" ref="G59:G90">H59+I59</f>
        <v>209</v>
      </c>
      <c r="H59" s="645">
        <v>9</v>
      </c>
      <c r="I59" s="646">
        <v>200</v>
      </c>
      <c r="J59" s="646">
        <v>39712</v>
      </c>
      <c r="K59" s="644">
        <f aca="true" t="shared" si="24" ref="K59:K90">L59+M59</f>
        <v>221834</v>
      </c>
      <c r="L59" s="645">
        <v>67278</v>
      </c>
      <c r="M59" s="645">
        <v>154556</v>
      </c>
      <c r="N59" s="644">
        <f aca="true" t="shared" si="25" ref="N59:N90">O59+P59</f>
        <v>15669</v>
      </c>
      <c r="O59" s="644">
        <f>(P59/4)*2</f>
        <v>5223</v>
      </c>
      <c r="P59" s="645">
        <v>10446</v>
      </c>
      <c r="Q59" s="644">
        <f aca="true" t="shared" si="26" ref="Q59:Q90">R59+S59</f>
        <v>1105</v>
      </c>
      <c r="R59" s="645">
        <v>355</v>
      </c>
      <c r="S59" s="647">
        <v>750</v>
      </c>
      <c r="V59" s="328"/>
      <c r="W59" s="328"/>
      <c r="X59" s="328"/>
      <c r="Y59" s="328"/>
      <c r="Z59" s="328"/>
    </row>
    <row r="60" spans="1:26" s="327" customFormat="1" ht="29.25" customHeight="1">
      <c r="A60" s="660">
        <v>2</v>
      </c>
      <c r="B60" s="661" t="s">
        <v>450</v>
      </c>
      <c r="C60" s="644">
        <f t="shared" si="22"/>
        <v>1443</v>
      </c>
      <c r="D60" s="644">
        <f>(E60/4)*2</f>
        <v>481</v>
      </c>
      <c r="E60" s="645">
        <v>962</v>
      </c>
      <c r="F60" s="645">
        <v>69175</v>
      </c>
      <c r="G60" s="644">
        <f t="shared" si="23"/>
        <v>24</v>
      </c>
      <c r="H60" s="644">
        <f>(I60/4)*2</f>
        <v>8</v>
      </c>
      <c r="I60" s="646">
        <v>16</v>
      </c>
      <c r="J60" s="646">
        <v>615</v>
      </c>
      <c r="K60" s="719">
        <f t="shared" si="24"/>
        <v>148246.5</v>
      </c>
      <c r="L60" s="644">
        <f>(M60/4)*2</f>
        <v>49415.5</v>
      </c>
      <c r="M60" s="645">
        <v>98831</v>
      </c>
      <c r="N60" s="644">
        <f t="shared" si="25"/>
        <v>5952</v>
      </c>
      <c r="O60" s="644">
        <f>(P60/4)*2</f>
        <v>1984</v>
      </c>
      <c r="P60" s="645">
        <v>3968</v>
      </c>
      <c r="Q60" s="644">
        <f t="shared" si="26"/>
        <v>4258.5</v>
      </c>
      <c r="R60" s="644">
        <f>(S60/4)*2</f>
        <v>1419.5</v>
      </c>
      <c r="S60" s="647">
        <v>2839</v>
      </c>
      <c r="V60" s="328"/>
      <c r="W60" s="328"/>
      <c r="X60" s="328"/>
      <c r="Y60" s="328"/>
      <c r="Z60" s="328"/>
    </row>
    <row r="61" spans="1:26" s="327" customFormat="1" ht="29.25" customHeight="1">
      <c r="A61" s="660">
        <v>3</v>
      </c>
      <c r="B61" s="661" t="s">
        <v>451</v>
      </c>
      <c r="C61" s="644">
        <f t="shared" si="22"/>
        <v>1071</v>
      </c>
      <c r="D61" s="644">
        <f>(E61/4)*2</f>
        <v>357</v>
      </c>
      <c r="E61" s="645">
        <v>714</v>
      </c>
      <c r="F61" s="645">
        <v>57673</v>
      </c>
      <c r="G61" s="644">
        <f t="shared" si="23"/>
        <v>82.5</v>
      </c>
      <c r="H61" s="644">
        <f>(I61/4)*2</f>
        <v>27.5</v>
      </c>
      <c r="I61" s="646">
        <v>55</v>
      </c>
      <c r="J61" s="646">
        <v>2762</v>
      </c>
      <c r="K61" s="644">
        <f t="shared" si="24"/>
        <v>69694</v>
      </c>
      <c r="L61" s="644">
        <v>23231</v>
      </c>
      <c r="M61" s="645">
        <v>46463</v>
      </c>
      <c r="N61" s="644">
        <f t="shared" si="25"/>
        <v>7434</v>
      </c>
      <c r="O61" s="644">
        <f>(P61/4)*2</f>
        <v>2478</v>
      </c>
      <c r="P61" s="645">
        <v>4956</v>
      </c>
      <c r="Q61" s="644">
        <f t="shared" si="26"/>
        <v>828</v>
      </c>
      <c r="R61" s="644">
        <f>(S61/4)*2</f>
        <v>276</v>
      </c>
      <c r="S61" s="647">
        <v>552</v>
      </c>
      <c r="V61" s="328"/>
      <c r="W61" s="328"/>
      <c r="X61" s="328"/>
      <c r="Y61" s="328"/>
      <c r="Z61" s="328"/>
    </row>
    <row r="62" spans="1:26" s="327" customFormat="1" ht="29.25" customHeight="1">
      <c r="A62" s="660">
        <v>4</v>
      </c>
      <c r="B62" s="661" t="s">
        <v>452</v>
      </c>
      <c r="C62" s="644">
        <f t="shared" si="22"/>
        <v>1014</v>
      </c>
      <c r="D62" s="644">
        <f>(E62/4)*2</f>
        <v>338</v>
      </c>
      <c r="E62" s="645">
        <v>676</v>
      </c>
      <c r="F62" s="645">
        <v>27144</v>
      </c>
      <c r="G62" s="644">
        <f t="shared" si="23"/>
        <v>12</v>
      </c>
      <c r="H62" s="644">
        <f>(I62/4)*2</f>
        <v>4</v>
      </c>
      <c r="I62" s="646">
        <v>8</v>
      </c>
      <c r="J62" s="646">
        <v>174</v>
      </c>
      <c r="K62" s="644">
        <f t="shared" si="24"/>
        <v>5280</v>
      </c>
      <c r="L62" s="644">
        <f>(M62/4)*2</f>
        <v>1760</v>
      </c>
      <c r="M62" s="645">
        <v>3520</v>
      </c>
      <c r="N62" s="644">
        <f t="shared" si="25"/>
        <v>2008.5</v>
      </c>
      <c r="O62" s="644">
        <f>(P62/4)*2</f>
        <v>669.5</v>
      </c>
      <c r="P62" s="645">
        <v>1339</v>
      </c>
      <c r="Q62" s="644">
        <f t="shared" si="26"/>
        <v>120</v>
      </c>
      <c r="R62" s="644">
        <f>(S62/4)*2</f>
        <v>40</v>
      </c>
      <c r="S62" s="647">
        <v>80</v>
      </c>
      <c r="V62" s="328"/>
      <c r="W62" s="328"/>
      <c r="X62" s="328"/>
      <c r="Y62" s="328"/>
      <c r="Z62" s="328"/>
    </row>
    <row r="63" spans="1:26" s="327" customFormat="1" ht="29.25" customHeight="1">
      <c r="A63" s="660">
        <v>5</v>
      </c>
      <c r="B63" s="661" t="s">
        <v>453</v>
      </c>
      <c r="C63" s="644">
        <f t="shared" si="22"/>
        <v>11854.5</v>
      </c>
      <c r="D63" s="644">
        <f>(E63/4)*2</f>
        <v>3951.5</v>
      </c>
      <c r="E63" s="645">
        <v>7903</v>
      </c>
      <c r="F63" s="645">
        <v>634505</v>
      </c>
      <c r="G63" s="644">
        <f t="shared" si="23"/>
        <v>270</v>
      </c>
      <c r="H63" s="644">
        <f>(I63/4)*2</f>
        <v>90</v>
      </c>
      <c r="I63" s="646">
        <v>180</v>
      </c>
      <c r="J63" s="646">
        <v>21614</v>
      </c>
      <c r="K63" s="644">
        <f t="shared" si="24"/>
        <v>183906</v>
      </c>
      <c r="L63" s="645">
        <v>63302</v>
      </c>
      <c r="M63" s="645">
        <v>120604</v>
      </c>
      <c r="N63" s="644">
        <f t="shared" si="25"/>
        <v>1203</v>
      </c>
      <c r="O63" s="644">
        <f>(P63/4)*2</f>
        <v>401</v>
      </c>
      <c r="P63" s="645">
        <v>802</v>
      </c>
      <c r="Q63" s="644">
        <f t="shared" si="26"/>
        <v>2062.5</v>
      </c>
      <c r="R63" s="644">
        <f>(S63/4)*2</f>
        <v>687.5</v>
      </c>
      <c r="S63" s="647">
        <v>1375</v>
      </c>
      <c r="V63" s="328"/>
      <c r="W63" s="328"/>
      <c r="X63" s="328"/>
      <c r="Y63" s="328"/>
      <c r="Z63" s="328"/>
    </row>
    <row r="64" spans="1:26" s="327" customFormat="1" ht="29.25" customHeight="1">
      <c r="A64" s="660">
        <v>6</v>
      </c>
      <c r="B64" s="661" t="s">
        <v>454</v>
      </c>
      <c r="C64" s="644">
        <f t="shared" si="22"/>
        <v>829</v>
      </c>
      <c r="D64" s="644">
        <v>207</v>
      </c>
      <c r="E64" s="645">
        <v>622</v>
      </c>
      <c r="F64" s="645">
        <v>361857</v>
      </c>
      <c r="G64" s="644">
        <f t="shared" si="23"/>
        <v>5</v>
      </c>
      <c r="H64" s="645">
        <v>1</v>
      </c>
      <c r="I64" s="646">
        <v>4</v>
      </c>
      <c r="J64" s="646">
        <v>4000</v>
      </c>
      <c r="K64" s="644">
        <f t="shared" si="24"/>
        <v>130312</v>
      </c>
      <c r="L64" s="645">
        <v>32578</v>
      </c>
      <c r="M64" s="645">
        <v>97734</v>
      </c>
      <c r="N64" s="644">
        <f t="shared" si="25"/>
        <v>9660</v>
      </c>
      <c r="O64" s="645">
        <v>2415</v>
      </c>
      <c r="P64" s="645">
        <v>7245</v>
      </c>
      <c r="Q64" s="644">
        <f t="shared" si="26"/>
        <v>1254</v>
      </c>
      <c r="R64" s="645">
        <v>313</v>
      </c>
      <c r="S64" s="647">
        <v>941</v>
      </c>
      <c r="V64" s="328"/>
      <c r="W64" s="328"/>
      <c r="X64" s="328"/>
      <c r="Y64" s="328"/>
      <c r="Z64" s="328"/>
    </row>
    <row r="65" spans="1:26" s="327" customFormat="1" ht="29.25" customHeight="1">
      <c r="A65" s="660">
        <v>7</v>
      </c>
      <c r="B65" s="661" t="s">
        <v>455</v>
      </c>
      <c r="C65" s="644">
        <f t="shared" si="22"/>
        <v>25770</v>
      </c>
      <c r="D65" s="644">
        <v>8500</v>
      </c>
      <c r="E65" s="645">
        <v>17270</v>
      </c>
      <c r="F65" s="645">
        <v>342593</v>
      </c>
      <c r="G65" s="644">
        <f t="shared" si="23"/>
        <v>49</v>
      </c>
      <c r="H65" s="644">
        <v>16</v>
      </c>
      <c r="I65" s="646">
        <v>33</v>
      </c>
      <c r="J65" s="646">
        <v>1343</v>
      </c>
      <c r="K65" s="644">
        <f t="shared" si="24"/>
        <v>236682</v>
      </c>
      <c r="L65" s="645">
        <v>75000</v>
      </c>
      <c r="M65" s="645">
        <v>161682</v>
      </c>
      <c r="N65" s="644">
        <f t="shared" si="25"/>
        <v>5275</v>
      </c>
      <c r="O65" s="645">
        <v>1500</v>
      </c>
      <c r="P65" s="645">
        <v>3775</v>
      </c>
      <c r="Q65" s="644">
        <f t="shared" si="26"/>
        <v>3148</v>
      </c>
      <c r="R65" s="645">
        <v>1000</v>
      </c>
      <c r="S65" s="647">
        <v>2148</v>
      </c>
      <c r="V65" s="328"/>
      <c r="W65" s="328"/>
      <c r="X65" s="328"/>
      <c r="Y65" s="328"/>
      <c r="Z65" s="328"/>
    </row>
    <row r="66" spans="1:26" s="327" customFormat="1" ht="29.25" customHeight="1">
      <c r="A66" s="660">
        <v>8</v>
      </c>
      <c r="B66" s="661" t="s">
        <v>456</v>
      </c>
      <c r="C66" s="644">
        <f t="shared" si="22"/>
        <v>4348.5</v>
      </c>
      <c r="D66" s="644">
        <f>(E66/4)*2</f>
        <v>1449.5</v>
      </c>
      <c r="E66" s="645">
        <v>2899</v>
      </c>
      <c r="F66" s="645">
        <v>363801</v>
      </c>
      <c r="G66" s="644">
        <f t="shared" si="23"/>
        <v>282</v>
      </c>
      <c r="H66" s="644">
        <f aca="true" t="shared" si="27" ref="H66:H76">(I66/4)*2</f>
        <v>94</v>
      </c>
      <c r="I66" s="646">
        <v>188</v>
      </c>
      <c r="J66" s="646">
        <v>56930</v>
      </c>
      <c r="K66" s="644">
        <f t="shared" si="24"/>
        <v>150891</v>
      </c>
      <c r="L66" s="644">
        <f>(M66/4)*2</f>
        <v>50297</v>
      </c>
      <c r="M66" s="645">
        <v>100594</v>
      </c>
      <c r="N66" s="644">
        <f t="shared" si="25"/>
        <v>5701.5</v>
      </c>
      <c r="O66" s="644">
        <f>(P66/4)*2</f>
        <v>1900.5</v>
      </c>
      <c r="P66" s="645">
        <v>3801</v>
      </c>
      <c r="Q66" s="644">
        <f t="shared" si="26"/>
        <v>6514.5</v>
      </c>
      <c r="R66" s="644">
        <f aca="true" t="shared" si="28" ref="R66:R71">(S66/4)*2</f>
        <v>2171.5</v>
      </c>
      <c r="S66" s="647">
        <v>4343</v>
      </c>
      <c r="V66" s="328"/>
      <c r="W66" s="328"/>
      <c r="X66" s="328"/>
      <c r="Y66" s="328"/>
      <c r="Z66" s="328"/>
    </row>
    <row r="67" spans="1:26" s="327" customFormat="1" ht="29.25" customHeight="1">
      <c r="A67" s="660">
        <v>9</v>
      </c>
      <c r="B67" s="661" t="s">
        <v>457</v>
      </c>
      <c r="C67" s="644">
        <f t="shared" si="22"/>
        <v>8730</v>
      </c>
      <c r="D67" s="644">
        <f>(E67/4)*2</f>
        <v>2910</v>
      </c>
      <c r="E67" s="645">
        <v>5820</v>
      </c>
      <c r="F67" s="645">
        <v>246357</v>
      </c>
      <c r="G67" s="644">
        <f t="shared" si="23"/>
        <v>51</v>
      </c>
      <c r="H67" s="644">
        <f t="shared" si="27"/>
        <v>17</v>
      </c>
      <c r="I67" s="646">
        <v>34</v>
      </c>
      <c r="J67" s="646">
        <v>3797</v>
      </c>
      <c r="K67" s="644">
        <f t="shared" si="24"/>
        <v>739120</v>
      </c>
      <c r="L67" s="645">
        <v>245318</v>
      </c>
      <c r="M67" s="645">
        <v>493802</v>
      </c>
      <c r="N67" s="644">
        <f t="shared" si="25"/>
        <v>10671</v>
      </c>
      <c r="O67" s="644">
        <f>(P67/4)*2</f>
        <v>3557</v>
      </c>
      <c r="P67" s="645">
        <v>7114</v>
      </c>
      <c r="Q67" s="644">
        <f t="shared" si="26"/>
        <v>3066</v>
      </c>
      <c r="R67" s="644">
        <f t="shared" si="28"/>
        <v>1022</v>
      </c>
      <c r="S67" s="647">
        <v>2044</v>
      </c>
      <c r="V67" s="328"/>
      <c r="W67" s="328"/>
      <c r="X67" s="328"/>
      <c r="Y67" s="328"/>
      <c r="Z67" s="328"/>
    </row>
    <row r="68" spans="1:26" s="327" customFormat="1" ht="29.25" customHeight="1">
      <c r="A68" s="660">
        <v>10</v>
      </c>
      <c r="B68" s="661" t="s">
        <v>362</v>
      </c>
      <c r="C68" s="644">
        <f t="shared" si="22"/>
        <v>179</v>
      </c>
      <c r="D68" s="645">
        <v>47</v>
      </c>
      <c r="E68" s="645">
        <v>132</v>
      </c>
      <c r="F68" s="645">
        <v>34872</v>
      </c>
      <c r="G68" s="644">
        <f t="shared" si="23"/>
        <v>3</v>
      </c>
      <c r="H68" s="644">
        <f t="shared" si="27"/>
        <v>1</v>
      </c>
      <c r="I68" s="646">
        <v>2</v>
      </c>
      <c r="J68" s="646">
        <v>400</v>
      </c>
      <c r="K68" s="644">
        <f t="shared" si="24"/>
        <v>43060.5</v>
      </c>
      <c r="L68" s="644">
        <f>(M68/4)*2</f>
        <v>14353.5</v>
      </c>
      <c r="M68" s="645">
        <v>28707</v>
      </c>
      <c r="N68" s="644">
        <f t="shared" si="25"/>
        <v>9012</v>
      </c>
      <c r="O68" s="644">
        <f>(P68/4)*2</f>
        <v>3004</v>
      </c>
      <c r="P68" s="645">
        <v>6008</v>
      </c>
      <c r="Q68" s="644">
        <f t="shared" si="26"/>
        <v>331.5</v>
      </c>
      <c r="R68" s="644">
        <f t="shared" si="28"/>
        <v>110.5</v>
      </c>
      <c r="S68" s="647">
        <v>221</v>
      </c>
      <c r="V68" s="328"/>
      <c r="W68" s="328"/>
      <c r="X68" s="328"/>
      <c r="Y68" s="328"/>
      <c r="Z68" s="328"/>
    </row>
    <row r="69" spans="1:26" s="327" customFormat="1" ht="29.25" customHeight="1">
      <c r="A69" s="660">
        <v>11</v>
      </c>
      <c r="B69" s="661" t="s">
        <v>363</v>
      </c>
      <c r="C69" s="644">
        <f t="shared" si="22"/>
        <v>2808</v>
      </c>
      <c r="D69" s="644">
        <f>(E69/4)*2</f>
        <v>936</v>
      </c>
      <c r="E69" s="645">
        <v>1872</v>
      </c>
      <c r="F69" s="645">
        <v>135420</v>
      </c>
      <c r="G69" s="644">
        <f t="shared" si="23"/>
        <v>64.5</v>
      </c>
      <c r="H69" s="644">
        <f t="shared" si="27"/>
        <v>21.5</v>
      </c>
      <c r="I69" s="646">
        <v>43</v>
      </c>
      <c r="J69" s="646">
        <v>4312</v>
      </c>
      <c r="K69" s="644">
        <f t="shared" si="24"/>
        <v>305992</v>
      </c>
      <c r="L69" s="644">
        <v>101997</v>
      </c>
      <c r="M69" s="645">
        <v>203995</v>
      </c>
      <c r="N69" s="644">
        <f t="shared" si="25"/>
        <v>7209</v>
      </c>
      <c r="O69" s="644">
        <f>(P69/4)*2</f>
        <v>2403</v>
      </c>
      <c r="P69" s="645">
        <v>4806</v>
      </c>
      <c r="Q69" s="644">
        <f t="shared" si="26"/>
        <v>7887</v>
      </c>
      <c r="R69" s="644">
        <f t="shared" si="28"/>
        <v>2629</v>
      </c>
      <c r="S69" s="647">
        <v>5258</v>
      </c>
      <c r="V69" s="328"/>
      <c r="W69" s="328"/>
      <c r="X69" s="328"/>
      <c r="Y69" s="328"/>
      <c r="Z69" s="328"/>
    </row>
    <row r="70" spans="1:26" s="327" customFormat="1" ht="29.25" customHeight="1">
      <c r="A70" s="660">
        <v>12</v>
      </c>
      <c r="B70" s="661" t="s">
        <v>364</v>
      </c>
      <c r="C70" s="644">
        <f t="shared" si="22"/>
        <v>7302</v>
      </c>
      <c r="D70" s="644">
        <f>(E70/4)*2</f>
        <v>2434</v>
      </c>
      <c r="E70" s="645">
        <v>4868</v>
      </c>
      <c r="F70" s="645">
        <v>177752</v>
      </c>
      <c r="G70" s="644">
        <f t="shared" si="23"/>
        <v>16.5</v>
      </c>
      <c r="H70" s="644">
        <f t="shared" si="27"/>
        <v>5.5</v>
      </c>
      <c r="I70" s="646">
        <v>11</v>
      </c>
      <c r="J70" s="646">
        <v>527</v>
      </c>
      <c r="K70" s="644">
        <f t="shared" si="24"/>
        <v>427941</v>
      </c>
      <c r="L70" s="645">
        <v>142627</v>
      </c>
      <c r="M70" s="645">
        <v>285314</v>
      </c>
      <c r="N70" s="644">
        <f t="shared" si="25"/>
        <v>11478</v>
      </c>
      <c r="O70" s="644">
        <f>(P70/4)*2</f>
        <v>3826</v>
      </c>
      <c r="P70" s="645">
        <v>7652</v>
      </c>
      <c r="Q70" s="644">
        <f t="shared" si="26"/>
        <v>4761</v>
      </c>
      <c r="R70" s="644">
        <f t="shared" si="28"/>
        <v>1587</v>
      </c>
      <c r="S70" s="647">
        <v>3174</v>
      </c>
      <c r="V70" s="328"/>
      <c r="W70" s="328"/>
      <c r="X70" s="328"/>
      <c r="Y70" s="328"/>
      <c r="Z70" s="328"/>
    </row>
    <row r="71" spans="1:26" s="327" customFormat="1" ht="29.25" customHeight="1">
      <c r="A71" s="660">
        <v>13</v>
      </c>
      <c r="B71" s="661" t="s">
        <v>365</v>
      </c>
      <c r="C71" s="644">
        <f t="shared" si="22"/>
        <v>7024</v>
      </c>
      <c r="D71" s="644">
        <v>2341</v>
      </c>
      <c r="E71" s="645">
        <v>4683</v>
      </c>
      <c r="F71" s="645">
        <v>17127</v>
      </c>
      <c r="G71" s="644">
        <f t="shared" si="23"/>
        <v>90</v>
      </c>
      <c r="H71" s="644">
        <f t="shared" si="27"/>
        <v>30</v>
      </c>
      <c r="I71" s="646">
        <v>60</v>
      </c>
      <c r="J71" s="646">
        <v>39502</v>
      </c>
      <c r="K71" s="644">
        <f t="shared" si="24"/>
        <v>139600</v>
      </c>
      <c r="L71" s="644">
        <v>46533</v>
      </c>
      <c r="M71" s="645">
        <v>93067</v>
      </c>
      <c r="N71" s="644">
        <f t="shared" si="25"/>
        <v>12673</v>
      </c>
      <c r="O71" s="644">
        <v>4224</v>
      </c>
      <c r="P71" s="645">
        <v>8449</v>
      </c>
      <c r="Q71" s="644">
        <f t="shared" si="26"/>
        <v>4554</v>
      </c>
      <c r="R71" s="644">
        <f t="shared" si="28"/>
        <v>1518</v>
      </c>
      <c r="S71" s="647">
        <v>3036</v>
      </c>
      <c r="V71" s="328"/>
      <c r="W71" s="328"/>
      <c r="X71" s="328"/>
      <c r="Y71" s="328"/>
      <c r="Z71" s="328"/>
    </row>
    <row r="72" spans="1:26" s="327" customFormat="1" ht="29.25" customHeight="1">
      <c r="A72" s="660">
        <v>14</v>
      </c>
      <c r="B72" s="661" t="s">
        <v>366</v>
      </c>
      <c r="C72" s="644">
        <f t="shared" si="22"/>
        <v>219</v>
      </c>
      <c r="D72" s="645">
        <v>1</v>
      </c>
      <c r="E72" s="662">
        <v>218</v>
      </c>
      <c r="F72" s="662">
        <v>13087</v>
      </c>
      <c r="G72" s="644">
        <f t="shared" si="23"/>
        <v>0</v>
      </c>
      <c r="H72" s="644">
        <f t="shared" si="27"/>
        <v>0</v>
      </c>
      <c r="I72" s="646"/>
      <c r="J72" s="646"/>
      <c r="K72" s="644">
        <f t="shared" si="24"/>
        <v>0</v>
      </c>
      <c r="L72" s="644">
        <v>0</v>
      </c>
      <c r="M72" s="645"/>
      <c r="N72" s="644">
        <f t="shared" si="25"/>
        <v>0</v>
      </c>
      <c r="O72" s="644">
        <v>0</v>
      </c>
      <c r="P72" s="645"/>
      <c r="Q72" s="644">
        <f t="shared" si="26"/>
        <v>28</v>
      </c>
      <c r="R72" s="663">
        <v>0</v>
      </c>
      <c r="S72" s="647">
        <v>28</v>
      </c>
      <c r="T72" s="327" t="s">
        <v>648</v>
      </c>
      <c r="V72" s="328"/>
      <c r="W72" s="328"/>
      <c r="X72" s="328"/>
      <c r="Y72" s="328"/>
      <c r="Z72" s="328"/>
    </row>
    <row r="73" spans="1:26" s="327" customFormat="1" ht="29.25" customHeight="1">
      <c r="A73" s="660">
        <v>15</v>
      </c>
      <c r="B73" s="664" t="s">
        <v>367</v>
      </c>
      <c r="C73" s="644">
        <f t="shared" si="22"/>
        <v>0</v>
      </c>
      <c r="D73" s="644">
        <f>(E73/4)*2</f>
        <v>0</v>
      </c>
      <c r="E73" s="645"/>
      <c r="F73" s="645"/>
      <c r="G73" s="644">
        <f t="shared" si="23"/>
        <v>0</v>
      </c>
      <c r="H73" s="644">
        <f t="shared" si="27"/>
        <v>0</v>
      </c>
      <c r="I73" s="646"/>
      <c r="J73" s="646"/>
      <c r="K73" s="644">
        <f t="shared" si="24"/>
        <v>0</v>
      </c>
      <c r="L73" s="644">
        <f>(M73/4)*2</f>
        <v>0</v>
      </c>
      <c r="M73" s="645"/>
      <c r="N73" s="644">
        <f t="shared" si="25"/>
        <v>0</v>
      </c>
      <c r="O73" s="644">
        <f>(P73/4)*2</f>
        <v>0</v>
      </c>
      <c r="P73" s="645"/>
      <c r="Q73" s="644">
        <f t="shared" si="26"/>
        <v>0</v>
      </c>
      <c r="R73" s="644">
        <f>(S73/4)*2</f>
        <v>0</v>
      </c>
      <c r="S73" s="647"/>
      <c r="V73" s="328"/>
      <c r="W73" s="328"/>
      <c r="X73" s="328"/>
      <c r="Y73" s="328"/>
      <c r="Z73" s="328"/>
    </row>
    <row r="74" spans="1:26" s="327" customFormat="1" ht="29.25" customHeight="1">
      <c r="A74" s="660">
        <v>16</v>
      </c>
      <c r="B74" s="661" t="s">
        <v>368</v>
      </c>
      <c r="C74" s="644">
        <f t="shared" si="22"/>
        <v>736.5</v>
      </c>
      <c r="D74" s="644">
        <f>(E74/4)*2</f>
        <v>245.5</v>
      </c>
      <c r="E74" s="645">
        <v>491</v>
      </c>
      <c r="F74" s="645">
        <v>47346</v>
      </c>
      <c r="G74" s="644">
        <f t="shared" si="23"/>
        <v>7.5</v>
      </c>
      <c r="H74" s="644">
        <f t="shared" si="27"/>
        <v>2.5</v>
      </c>
      <c r="I74" s="646">
        <v>5</v>
      </c>
      <c r="J74" s="646">
        <v>60</v>
      </c>
      <c r="K74" s="644">
        <f t="shared" si="24"/>
        <v>761146.5</v>
      </c>
      <c r="L74" s="644">
        <f>(M74/4)*2</f>
        <v>253715.5</v>
      </c>
      <c r="M74" s="645">
        <v>507431</v>
      </c>
      <c r="N74" s="644">
        <f t="shared" si="25"/>
        <v>2683.5</v>
      </c>
      <c r="O74" s="644">
        <f>(P74/4)*2</f>
        <v>894.5</v>
      </c>
      <c r="P74" s="645">
        <v>1789</v>
      </c>
      <c r="Q74" s="644">
        <f t="shared" si="26"/>
        <v>1765</v>
      </c>
      <c r="R74" s="645">
        <v>592</v>
      </c>
      <c r="S74" s="647">
        <v>1173</v>
      </c>
      <c r="V74" s="328"/>
      <c r="W74" s="328"/>
      <c r="X74" s="328"/>
      <c r="Y74" s="328"/>
      <c r="Z74" s="328"/>
    </row>
    <row r="75" spans="1:26" s="327" customFormat="1" ht="29.25" customHeight="1">
      <c r="A75" s="660">
        <v>17</v>
      </c>
      <c r="B75" s="661" t="s">
        <v>369</v>
      </c>
      <c r="C75" s="644">
        <f t="shared" si="22"/>
        <v>247</v>
      </c>
      <c r="D75" s="644">
        <v>82</v>
      </c>
      <c r="E75" s="645">
        <v>165</v>
      </c>
      <c r="F75" s="645">
        <v>9326</v>
      </c>
      <c r="G75" s="644">
        <f t="shared" si="23"/>
        <v>4.5</v>
      </c>
      <c r="H75" s="644">
        <f t="shared" si="27"/>
        <v>1.5</v>
      </c>
      <c r="I75" s="646">
        <v>3</v>
      </c>
      <c r="J75" s="646">
        <v>100</v>
      </c>
      <c r="K75" s="644">
        <f t="shared" si="24"/>
        <v>6541</v>
      </c>
      <c r="L75" s="644">
        <v>2180</v>
      </c>
      <c r="M75" s="645">
        <v>4361</v>
      </c>
      <c r="N75" s="644">
        <f t="shared" si="25"/>
        <v>84</v>
      </c>
      <c r="O75" s="644">
        <f>(P75/4)*2</f>
        <v>28</v>
      </c>
      <c r="P75" s="645">
        <v>56</v>
      </c>
      <c r="Q75" s="644">
        <f t="shared" si="26"/>
        <v>450</v>
      </c>
      <c r="R75" s="720">
        <v>250</v>
      </c>
      <c r="S75" s="647">
        <v>200</v>
      </c>
      <c r="T75" s="327" t="s">
        <v>90</v>
      </c>
      <c r="V75" s="328"/>
      <c r="W75" s="328"/>
      <c r="X75" s="328"/>
      <c r="Y75" s="328"/>
      <c r="Z75" s="328"/>
    </row>
    <row r="76" spans="1:26" s="327" customFormat="1" ht="29.25" customHeight="1">
      <c r="A76" s="660">
        <v>18</v>
      </c>
      <c r="B76" s="661" t="s">
        <v>370</v>
      </c>
      <c r="C76" s="644">
        <f t="shared" si="22"/>
        <v>731</v>
      </c>
      <c r="D76" s="645">
        <v>202</v>
      </c>
      <c r="E76" s="645">
        <v>529</v>
      </c>
      <c r="F76" s="645">
        <v>40776</v>
      </c>
      <c r="G76" s="644">
        <f t="shared" si="23"/>
        <v>1.5</v>
      </c>
      <c r="H76" s="644">
        <f t="shared" si="27"/>
        <v>0.5</v>
      </c>
      <c r="I76" s="646">
        <v>1</v>
      </c>
      <c r="J76" s="646">
        <v>18</v>
      </c>
      <c r="K76" s="644">
        <f t="shared" si="24"/>
        <v>46673</v>
      </c>
      <c r="L76" s="645">
        <v>14217</v>
      </c>
      <c r="M76" s="645">
        <v>32456</v>
      </c>
      <c r="N76" s="644">
        <f t="shared" si="25"/>
        <v>229</v>
      </c>
      <c r="O76" s="644">
        <v>76</v>
      </c>
      <c r="P76" s="645">
        <v>153</v>
      </c>
      <c r="Q76" s="644">
        <f t="shared" si="26"/>
        <v>229</v>
      </c>
      <c r="R76" s="645">
        <v>74</v>
      </c>
      <c r="S76" s="647">
        <v>155</v>
      </c>
      <c r="T76" s="327" t="s">
        <v>649</v>
      </c>
      <c r="V76" s="328"/>
      <c r="W76" s="328"/>
      <c r="X76" s="328"/>
      <c r="Y76" s="328"/>
      <c r="Z76" s="328"/>
    </row>
    <row r="77" spans="1:26" s="327" customFormat="1" ht="29.25" customHeight="1">
      <c r="A77" s="660">
        <v>19</v>
      </c>
      <c r="B77" s="665" t="s">
        <v>371</v>
      </c>
      <c r="C77" s="644">
        <f t="shared" si="22"/>
        <v>7688</v>
      </c>
      <c r="D77" s="645">
        <v>1098</v>
      </c>
      <c r="E77" s="645">
        <v>6590</v>
      </c>
      <c r="F77" s="666">
        <v>2601756</v>
      </c>
      <c r="G77" s="644">
        <f t="shared" si="23"/>
        <v>11</v>
      </c>
      <c r="H77" s="644">
        <v>3</v>
      </c>
      <c r="I77" s="646">
        <v>8</v>
      </c>
      <c r="J77" s="646">
        <v>621</v>
      </c>
      <c r="K77" s="644">
        <f t="shared" si="24"/>
        <v>850999</v>
      </c>
      <c r="L77" s="645">
        <v>212717</v>
      </c>
      <c r="M77" s="666">
        <v>638282</v>
      </c>
      <c r="N77" s="644">
        <f t="shared" si="25"/>
        <v>29807</v>
      </c>
      <c r="O77" s="645">
        <v>7452</v>
      </c>
      <c r="P77" s="645">
        <v>22355</v>
      </c>
      <c r="Q77" s="644">
        <f t="shared" si="26"/>
        <v>2549</v>
      </c>
      <c r="R77" s="645">
        <v>637</v>
      </c>
      <c r="S77" s="647">
        <v>1912</v>
      </c>
      <c r="T77" s="327" t="s">
        <v>650</v>
      </c>
      <c r="V77" s="328"/>
      <c r="W77" s="328"/>
      <c r="X77" s="328"/>
      <c r="Y77" s="328"/>
      <c r="Z77" s="328"/>
    </row>
    <row r="78" spans="1:26" s="327" customFormat="1" ht="29.25" customHeight="1">
      <c r="A78" s="660">
        <v>20</v>
      </c>
      <c r="B78" s="665" t="s">
        <v>372</v>
      </c>
      <c r="C78" s="644">
        <f t="shared" si="22"/>
        <v>7731</v>
      </c>
      <c r="D78" s="644">
        <f>(E78/4)*2</f>
        <v>2577</v>
      </c>
      <c r="E78" s="645">
        <v>5154</v>
      </c>
      <c r="F78" s="645">
        <v>444885</v>
      </c>
      <c r="G78" s="644">
        <f t="shared" si="23"/>
        <v>76</v>
      </c>
      <c r="H78" s="644">
        <v>25</v>
      </c>
      <c r="I78" s="646">
        <v>51</v>
      </c>
      <c r="J78" s="646">
        <v>1599</v>
      </c>
      <c r="K78" s="644">
        <f t="shared" si="24"/>
        <v>817977</v>
      </c>
      <c r="L78" s="644">
        <f>(M78/4)*2</f>
        <v>272659</v>
      </c>
      <c r="M78" s="645">
        <v>545318</v>
      </c>
      <c r="N78" s="644">
        <f t="shared" si="25"/>
        <v>3967</v>
      </c>
      <c r="O78" s="644">
        <v>1322</v>
      </c>
      <c r="P78" s="645">
        <v>2645</v>
      </c>
      <c r="Q78" s="644">
        <f t="shared" si="26"/>
        <v>3324</v>
      </c>
      <c r="R78" s="644">
        <f>(S78/4)*2</f>
        <v>1108</v>
      </c>
      <c r="S78" s="647">
        <v>2216</v>
      </c>
      <c r="V78" s="328"/>
      <c r="W78" s="328"/>
      <c r="X78" s="328"/>
      <c r="Y78" s="328"/>
      <c r="Z78" s="328"/>
    </row>
    <row r="79" spans="1:26" s="327" customFormat="1" ht="29.25" customHeight="1">
      <c r="A79" s="660">
        <v>21</v>
      </c>
      <c r="B79" s="665" t="s">
        <v>373</v>
      </c>
      <c r="C79" s="644">
        <f t="shared" si="22"/>
        <v>49519.5</v>
      </c>
      <c r="D79" s="644">
        <f>(E79/4)*2</f>
        <v>16506.5</v>
      </c>
      <c r="E79" s="645">
        <v>33013</v>
      </c>
      <c r="F79" s="645">
        <v>581211</v>
      </c>
      <c r="G79" s="644">
        <f t="shared" si="23"/>
        <v>85.5</v>
      </c>
      <c r="H79" s="644">
        <f>(I79/4)*2</f>
        <v>28.5</v>
      </c>
      <c r="I79" s="646">
        <v>57</v>
      </c>
      <c r="J79" s="646">
        <v>7864</v>
      </c>
      <c r="K79" s="644">
        <f t="shared" si="24"/>
        <v>290802</v>
      </c>
      <c r="L79" s="644">
        <f>(M79/4)*2</f>
        <v>96934</v>
      </c>
      <c r="M79" s="645">
        <v>193868</v>
      </c>
      <c r="N79" s="644">
        <f t="shared" si="25"/>
        <v>7422</v>
      </c>
      <c r="O79" s="644">
        <f>(P79/4)*2</f>
        <v>2474</v>
      </c>
      <c r="P79" s="645">
        <v>4948</v>
      </c>
      <c r="Q79" s="644">
        <f t="shared" si="26"/>
        <v>9448.5</v>
      </c>
      <c r="R79" s="644">
        <f>(S79/4)*2</f>
        <v>3149.5</v>
      </c>
      <c r="S79" s="647">
        <v>6299</v>
      </c>
      <c r="T79" s="327" t="s">
        <v>91</v>
      </c>
      <c r="V79" s="328"/>
      <c r="W79" s="328"/>
      <c r="X79" s="328"/>
      <c r="Y79" s="328"/>
      <c r="Z79" s="328"/>
    </row>
    <row r="80" spans="1:26" s="327" customFormat="1" ht="29.25" customHeight="1">
      <c r="A80" s="660">
        <v>22</v>
      </c>
      <c r="B80" s="665" t="s">
        <v>374</v>
      </c>
      <c r="C80" s="644">
        <f t="shared" si="22"/>
        <v>2728.5</v>
      </c>
      <c r="D80" s="644">
        <f>(E80/4)*2</f>
        <v>909.5</v>
      </c>
      <c r="E80" s="645">
        <v>1819</v>
      </c>
      <c r="F80" s="645">
        <v>208214</v>
      </c>
      <c r="G80" s="644">
        <f t="shared" si="23"/>
        <v>9</v>
      </c>
      <c r="H80" s="644">
        <f>(I80/4)*2</f>
        <v>3</v>
      </c>
      <c r="I80" s="646">
        <v>6</v>
      </c>
      <c r="J80" s="646">
        <v>1955</v>
      </c>
      <c r="K80" s="644">
        <f t="shared" si="24"/>
        <v>20766</v>
      </c>
      <c r="L80" s="662">
        <v>3111</v>
      </c>
      <c r="M80" s="662">
        <v>17655</v>
      </c>
      <c r="N80" s="644">
        <f t="shared" si="25"/>
        <v>876</v>
      </c>
      <c r="O80" s="644">
        <f>(P80/4)*2</f>
        <v>292</v>
      </c>
      <c r="P80" s="645">
        <v>584</v>
      </c>
      <c r="Q80" s="644">
        <f t="shared" si="26"/>
        <v>684</v>
      </c>
      <c r="R80" s="644">
        <f>(S80/4)*2</f>
        <v>228</v>
      </c>
      <c r="S80" s="647">
        <v>456</v>
      </c>
      <c r="T80" s="327" t="s">
        <v>92</v>
      </c>
      <c r="U80" s="327" t="s">
        <v>5</v>
      </c>
      <c r="V80" s="328"/>
      <c r="W80" s="328"/>
      <c r="X80" s="328"/>
      <c r="Y80" s="328"/>
      <c r="Z80" s="328"/>
    </row>
    <row r="81" spans="1:26" s="327" customFormat="1" ht="29.25" customHeight="1">
      <c r="A81" s="660">
        <v>23</v>
      </c>
      <c r="B81" s="665" t="s">
        <v>375</v>
      </c>
      <c r="C81" s="644">
        <f t="shared" si="22"/>
        <v>1807</v>
      </c>
      <c r="D81" s="645">
        <v>615</v>
      </c>
      <c r="E81" s="645">
        <v>1192</v>
      </c>
      <c r="F81" s="645">
        <v>92825</v>
      </c>
      <c r="G81" s="644">
        <f t="shared" si="23"/>
        <v>77</v>
      </c>
      <c r="H81" s="645">
        <v>25</v>
      </c>
      <c r="I81" s="646">
        <v>52</v>
      </c>
      <c r="J81" s="646">
        <v>11794</v>
      </c>
      <c r="K81" s="644">
        <f t="shared" si="24"/>
        <v>56127</v>
      </c>
      <c r="L81" s="645">
        <v>19000</v>
      </c>
      <c r="M81" s="645">
        <v>37127</v>
      </c>
      <c r="N81" s="644">
        <f t="shared" si="25"/>
        <v>1143</v>
      </c>
      <c r="O81" s="645">
        <v>400</v>
      </c>
      <c r="P81" s="645">
        <v>743</v>
      </c>
      <c r="Q81" s="644">
        <f t="shared" si="26"/>
        <v>422</v>
      </c>
      <c r="R81" s="645">
        <v>150</v>
      </c>
      <c r="S81" s="647">
        <v>272</v>
      </c>
      <c r="T81" s="327" t="s">
        <v>93</v>
      </c>
      <c r="V81" s="328"/>
      <c r="W81" s="328"/>
      <c r="X81" s="328"/>
      <c r="Y81" s="328"/>
      <c r="Z81" s="328"/>
    </row>
    <row r="82" spans="1:26" s="327" customFormat="1" ht="29.25" customHeight="1">
      <c r="A82" s="660">
        <v>24</v>
      </c>
      <c r="B82" s="665" t="s">
        <v>376</v>
      </c>
      <c r="C82" s="644">
        <f t="shared" si="22"/>
        <v>4293</v>
      </c>
      <c r="D82" s="644">
        <f>(E82/4)*2</f>
        <v>1431</v>
      </c>
      <c r="E82" s="645">
        <v>2862</v>
      </c>
      <c r="F82" s="645">
        <v>295774</v>
      </c>
      <c r="G82" s="644">
        <f t="shared" si="23"/>
        <v>222</v>
      </c>
      <c r="H82" s="644">
        <f>(I82/4)*2</f>
        <v>74</v>
      </c>
      <c r="I82" s="646">
        <v>148</v>
      </c>
      <c r="J82" s="646">
        <v>63051</v>
      </c>
      <c r="K82" s="644">
        <f t="shared" si="24"/>
        <v>2044968</v>
      </c>
      <c r="L82" s="644">
        <f>(M82/4)*2</f>
        <v>681656</v>
      </c>
      <c r="M82" s="645">
        <v>1363312</v>
      </c>
      <c r="N82" s="644">
        <f t="shared" si="25"/>
        <v>44317.5</v>
      </c>
      <c r="O82" s="644">
        <f>(P82/4)*2</f>
        <v>14772.5</v>
      </c>
      <c r="P82" s="645">
        <v>29545</v>
      </c>
      <c r="Q82" s="644">
        <f t="shared" si="26"/>
        <v>20808</v>
      </c>
      <c r="R82" s="644">
        <f>(S82/4)*2</f>
        <v>6936</v>
      </c>
      <c r="S82" s="647">
        <v>13872</v>
      </c>
      <c r="U82" s="340"/>
      <c r="V82" s="328"/>
      <c r="W82" s="328"/>
      <c r="X82" s="328"/>
      <c r="Y82" s="328"/>
      <c r="Z82" s="328"/>
    </row>
    <row r="83" spans="1:26" s="327" customFormat="1" ht="29.25" customHeight="1">
      <c r="A83" s="660">
        <v>25</v>
      </c>
      <c r="B83" s="665" t="s">
        <v>377</v>
      </c>
      <c r="C83" s="644">
        <f t="shared" si="22"/>
        <v>4410</v>
      </c>
      <c r="D83" s="644">
        <f>(E83/4)*2</f>
        <v>1470</v>
      </c>
      <c r="E83" s="645">
        <v>2940</v>
      </c>
      <c r="F83" s="645">
        <v>274391</v>
      </c>
      <c r="G83" s="644">
        <f t="shared" si="23"/>
        <v>300</v>
      </c>
      <c r="H83" s="644">
        <f>(I83/4)*2</f>
        <v>100</v>
      </c>
      <c r="I83" s="646">
        <v>200</v>
      </c>
      <c r="J83" s="646">
        <v>168494</v>
      </c>
      <c r="K83" s="644">
        <f t="shared" si="24"/>
        <v>233281.5</v>
      </c>
      <c r="L83" s="644">
        <f>(M83/4)*2</f>
        <v>77760.5</v>
      </c>
      <c r="M83" s="645">
        <v>155521</v>
      </c>
      <c r="N83" s="644">
        <f t="shared" si="25"/>
        <v>21922.5</v>
      </c>
      <c r="O83" s="644">
        <f>(P83/4)*2</f>
        <v>7307.5</v>
      </c>
      <c r="P83" s="645">
        <v>14615</v>
      </c>
      <c r="Q83" s="644">
        <f t="shared" si="26"/>
        <v>3426</v>
      </c>
      <c r="R83" s="644">
        <f>(S83/4)*2</f>
        <v>1142</v>
      </c>
      <c r="S83" s="647">
        <v>2284</v>
      </c>
      <c r="V83" s="328"/>
      <c r="W83" s="328"/>
      <c r="X83" s="328"/>
      <c r="Y83" s="328"/>
      <c r="Z83" s="328"/>
    </row>
    <row r="84" spans="1:26" s="327" customFormat="1" ht="29.25" customHeight="1">
      <c r="A84" s="660">
        <v>26</v>
      </c>
      <c r="B84" s="665" t="s">
        <v>378</v>
      </c>
      <c r="C84" s="644">
        <f t="shared" si="22"/>
        <v>4373</v>
      </c>
      <c r="D84" s="645">
        <v>1093</v>
      </c>
      <c r="E84" s="645">
        <v>3280</v>
      </c>
      <c r="F84" s="645">
        <v>217313</v>
      </c>
      <c r="G84" s="644">
        <f t="shared" si="23"/>
        <v>136</v>
      </c>
      <c r="H84" s="645">
        <v>34</v>
      </c>
      <c r="I84" s="646">
        <v>102</v>
      </c>
      <c r="J84" s="646">
        <v>24837</v>
      </c>
      <c r="K84" s="644">
        <f t="shared" si="24"/>
        <v>442606</v>
      </c>
      <c r="L84" s="645">
        <v>110764</v>
      </c>
      <c r="M84" s="662">
        <v>331842</v>
      </c>
      <c r="N84" s="644">
        <f t="shared" si="25"/>
        <v>150173</v>
      </c>
      <c r="O84" s="645">
        <v>37543</v>
      </c>
      <c r="P84" s="645">
        <v>112630</v>
      </c>
      <c r="Q84" s="644">
        <f t="shared" si="26"/>
        <v>5817</v>
      </c>
      <c r="R84" s="645">
        <v>1454</v>
      </c>
      <c r="S84" s="647">
        <v>4363</v>
      </c>
      <c r="T84" s="327" t="s">
        <v>6</v>
      </c>
      <c r="V84" s="328"/>
      <c r="W84" s="328"/>
      <c r="X84" s="328"/>
      <c r="Y84" s="328"/>
      <c r="Z84" s="328"/>
    </row>
    <row r="85" spans="1:26" s="327" customFormat="1" ht="29.25" customHeight="1">
      <c r="A85" s="660">
        <v>27</v>
      </c>
      <c r="B85" s="665" t="s">
        <v>379</v>
      </c>
      <c r="C85" s="644">
        <f t="shared" si="22"/>
        <v>1236</v>
      </c>
      <c r="D85" s="644">
        <f aca="true" t="shared" si="29" ref="D85:D90">(E85/4)*2</f>
        <v>412</v>
      </c>
      <c r="E85" s="645">
        <v>824</v>
      </c>
      <c r="F85" s="645">
        <v>76584</v>
      </c>
      <c r="G85" s="644">
        <f t="shared" si="23"/>
        <v>37.5</v>
      </c>
      <c r="H85" s="644">
        <f aca="true" t="shared" si="30" ref="H85:H90">(I85/4)*2</f>
        <v>12.5</v>
      </c>
      <c r="I85" s="646">
        <v>25</v>
      </c>
      <c r="J85" s="646">
        <v>1569</v>
      </c>
      <c r="K85" s="644">
        <f t="shared" si="24"/>
        <v>123610</v>
      </c>
      <c r="L85" s="644">
        <v>41203</v>
      </c>
      <c r="M85" s="645">
        <v>82407</v>
      </c>
      <c r="N85" s="644">
        <f t="shared" si="25"/>
        <v>16749</v>
      </c>
      <c r="O85" s="644">
        <f>(P85/4)*2</f>
        <v>5583</v>
      </c>
      <c r="P85" s="645">
        <v>11166</v>
      </c>
      <c r="Q85" s="644">
        <f t="shared" si="26"/>
        <v>7630</v>
      </c>
      <c r="R85" s="645">
        <v>2540</v>
      </c>
      <c r="S85" s="647">
        <v>5090</v>
      </c>
      <c r="V85" s="328"/>
      <c r="W85" s="328"/>
      <c r="X85" s="328"/>
      <c r="Y85" s="328"/>
      <c r="Z85" s="328"/>
    </row>
    <row r="86" spans="1:26" s="327" customFormat="1" ht="29.25" customHeight="1">
      <c r="A86" s="660">
        <v>28</v>
      </c>
      <c r="B86" s="665" t="s">
        <v>380</v>
      </c>
      <c r="C86" s="644">
        <f t="shared" si="22"/>
        <v>4210.5</v>
      </c>
      <c r="D86" s="644">
        <f t="shared" si="29"/>
        <v>1403.5</v>
      </c>
      <c r="E86" s="645">
        <v>2807</v>
      </c>
      <c r="F86" s="645">
        <v>223720</v>
      </c>
      <c r="G86" s="644">
        <f t="shared" si="23"/>
        <v>58.5</v>
      </c>
      <c r="H86" s="644">
        <f t="shared" si="30"/>
        <v>19.5</v>
      </c>
      <c r="I86" s="646">
        <v>39</v>
      </c>
      <c r="J86" s="646">
        <v>20396</v>
      </c>
      <c r="K86" s="644">
        <f t="shared" si="24"/>
        <v>100630.5</v>
      </c>
      <c r="L86" s="644">
        <f>(M86/4)*2</f>
        <v>33543.5</v>
      </c>
      <c r="M86" s="645">
        <v>67087</v>
      </c>
      <c r="N86" s="644">
        <f t="shared" si="25"/>
        <v>3384</v>
      </c>
      <c r="O86" s="644">
        <f>(P86/4)*2</f>
        <v>1128</v>
      </c>
      <c r="P86" s="645">
        <v>2256</v>
      </c>
      <c r="Q86" s="644">
        <f t="shared" si="26"/>
        <v>733.5</v>
      </c>
      <c r="R86" s="644">
        <f>(S86/4)*2</f>
        <v>244.5</v>
      </c>
      <c r="S86" s="647">
        <v>489</v>
      </c>
      <c r="V86" s="328"/>
      <c r="W86" s="328"/>
      <c r="X86" s="328"/>
      <c r="Y86" s="328"/>
      <c r="Z86" s="328"/>
    </row>
    <row r="87" spans="1:26" s="327" customFormat="1" ht="29.25" customHeight="1">
      <c r="A87" s="660">
        <v>29</v>
      </c>
      <c r="B87" s="665" t="s">
        <v>381</v>
      </c>
      <c r="C87" s="644">
        <f t="shared" si="22"/>
        <v>2361</v>
      </c>
      <c r="D87" s="644">
        <f t="shared" si="29"/>
        <v>787</v>
      </c>
      <c r="E87" s="645">
        <v>1574</v>
      </c>
      <c r="F87" s="645">
        <v>105212</v>
      </c>
      <c r="G87" s="644">
        <f t="shared" si="23"/>
        <v>39</v>
      </c>
      <c r="H87" s="644">
        <f t="shared" si="30"/>
        <v>13</v>
      </c>
      <c r="I87" s="646">
        <v>26</v>
      </c>
      <c r="J87" s="646">
        <v>1191</v>
      </c>
      <c r="K87" s="644">
        <f t="shared" si="24"/>
        <v>32332.5</v>
      </c>
      <c r="L87" s="644">
        <f>(M87/4)*2</f>
        <v>10777.5</v>
      </c>
      <c r="M87" s="645">
        <v>21555</v>
      </c>
      <c r="N87" s="644">
        <f t="shared" si="25"/>
        <v>1300.5</v>
      </c>
      <c r="O87" s="644">
        <f>(P87/4)*2</f>
        <v>433.5</v>
      </c>
      <c r="P87" s="645">
        <v>867</v>
      </c>
      <c r="Q87" s="644">
        <f t="shared" si="26"/>
        <v>502</v>
      </c>
      <c r="R87" s="645">
        <v>148</v>
      </c>
      <c r="S87" s="647">
        <v>354</v>
      </c>
      <c r="V87" s="328"/>
      <c r="W87" s="328"/>
      <c r="X87" s="328"/>
      <c r="Y87" s="328"/>
      <c r="Z87" s="328"/>
    </row>
    <row r="88" spans="1:26" s="327" customFormat="1" ht="29.25" customHeight="1">
      <c r="A88" s="660">
        <v>30</v>
      </c>
      <c r="B88" s="665" t="s">
        <v>382</v>
      </c>
      <c r="C88" s="644">
        <f t="shared" si="22"/>
        <v>577.5</v>
      </c>
      <c r="D88" s="644">
        <f t="shared" si="29"/>
        <v>192.5</v>
      </c>
      <c r="E88" s="645">
        <v>385</v>
      </c>
      <c r="F88" s="645">
        <v>28800</v>
      </c>
      <c r="G88" s="644">
        <f t="shared" si="23"/>
        <v>37.5</v>
      </c>
      <c r="H88" s="644">
        <f t="shared" si="30"/>
        <v>12.5</v>
      </c>
      <c r="I88" s="646">
        <v>25</v>
      </c>
      <c r="J88" s="646">
        <v>5837</v>
      </c>
      <c r="K88" s="644">
        <f t="shared" si="24"/>
        <v>12018</v>
      </c>
      <c r="L88" s="645">
        <v>2686</v>
      </c>
      <c r="M88" s="645">
        <v>9332</v>
      </c>
      <c r="N88" s="644">
        <f t="shared" si="25"/>
        <v>4723</v>
      </c>
      <c r="O88" s="644">
        <v>1574</v>
      </c>
      <c r="P88" s="645">
        <v>3149</v>
      </c>
      <c r="Q88" s="644">
        <f t="shared" si="26"/>
        <v>577</v>
      </c>
      <c r="R88" s="645">
        <v>59</v>
      </c>
      <c r="S88" s="647">
        <v>518</v>
      </c>
      <c r="T88" s="327" t="s">
        <v>94</v>
      </c>
      <c r="V88" s="328"/>
      <c r="W88" s="328"/>
      <c r="X88" s="328"/>
      <c r="Y88" s="328"/>
      <c r="Z88" s="328"/>
    </row>
    <row r="89" spans="1:26" s="327" customFormat="1" ht="29.25" customHeight="1">
      <c r="A89" s="660">
        <v>31</v>
      </c>
      <c r="B89" s="665" t="s">
        <v>383</v>
      </c>
      <c r="C89" s="644">
        <f t="shared" si="22"/>
        <v>1810.5</v>
      </c>
      <c r="D89" s="644">
        <f t="shared" si="29"/>
        <v>603.5</v>
      </c>
      <c r="E89" s="645">
        <v>1207</v>
      </c>
      <c r="F89" s="645">
        <v>70493</v>
      </c>
      <c r="G89" s="644">
        <f t="shared" si="23"/>
        <v>51</v>
      </c>
      <c r="H89" s="644">
        <f t="shared" si="30"/>
        <v>17</v>
      </c>
      <c r="I89" s="646">
        <v>34</v>
      </c>
      <c r="J89" s="646">
        <v>3105</v>
      </c>
      <c r="K89" s="644">
        <f t="shared" si="24"/>
        <v>34165.5</v>
      </c>
      <c r="L89" s="644">
        <f>(M89/4)*2</f>
        <v>11388.5</v>
      </c>
      <c r="M89" s="645">
        <v>22777</v>
      </c>
      <c r="N89" s="644">
        <f t="shared" si="25"/>
        <v>13275</v>
      </c>
      <c r="O89" s="644">
        <f>(P89/4)*2</f>
        <v>4425</v>
      </c>
      <c r="P89" s="645">
        <v>8850</v>
      </c>
      <c r="Q89" s="644">
        <f t="shared" si="26"/>
        <v>3417</v>
      </c>
      <c r="R89" s="644">
        <f>(S89/4)*2</f>
        <v>1139</v>
      </c>
      <c r="S89" s="647">
        <v>2278</v>
      </c>
      <c r="V89" s="328"/>
      <c r="W89" s="328"/>
      <c r="X89" s="328"/>
      <c r="Y89" s="328"/>
      <c r="Z89" s="328"/>
    </row>
    <row r="90" spans="1:26" s="327" customFormat="1" ht="29.25" customHeight="1">
      <c r="A90" s="660">
        <v>32</v>
      </c>
      <c r="B90" s="665" t="s">
        <v>384</v>
      </c>
      <c r="C90" s="644">
        <f t="shared" si="22"/>
        <v>6247.5</v>
      </c>
      <c r="D90" s="644">
        <f t="shared" si="29"/>
        <v>2082.5</v>
      </c>
      <c r="E90" s="645">
        <v>4165</v>
      </c>
      <c r="F90" s="645">
        <v>123468</v>
      </c>
      <c r="G90" s="644">
        <f t="shared" si="23"/>
        <v>12</v>
      </c>
      <c r="H90" s="644">
        <f t="shared" si="30"/>
        <v>4</v>
      </c>
      <c r="I90" s="646">
        <v>8</v>
      </c>
      <c r="J90" s="646">
        <v>753</v>
      </c>
      <c r="K90" s="644">
        <f t="shared" si="24"/>
        <v>965341.5</v>
      </c>
      <c r="L90" s="644">
        <f>(M90/4)*2</f>
        <v>321780.5</v>
      </c>
      <c r="M90" s="667">
        <v>643561</v>
      </c>
      <c r="N90" s="644">
        <f t="shared" si="25"/>
        <v>1446</v>
      </c>
      <c r="O90" s="644">
        <f>(P90/4)*2</f>
        <v>482</v>
      </c>
      <c r="P90" s="645">
        <v>964</v>
      </c>
      <c r="Q90" s="644">
        <f t="shared" si="26"/>
        <v>1621.5</v>
      </c>
      <c r="R90" s="644">
        <f>(S90/4)*2</f>
        <v>540.5</v>
      </c>
      <c r="S90" s="647">
        <v>1081</v>
      </c>
      <c r="V90" s="328"/>
      <c r="W90" s="328"/>
      <c r="X90" s="328"/>
      <c r="Y90" s="328"/>
      <c r="Z90" s="328"/>
    </row>
    <row r="91" spans="1:26" s="327" customFormat="1" ht="29.25" customHeight="1">
      <c r="A91" s="660">
        <v>33</v>
      </c>
      <c r="B91" s="665" t="s">
        <v>385</v>
      </c>
      <c r="C91" s="644">
        <f aca="true" t="shared" si="31" ref="C91:C121">D91+E91</f>
        <v>2690</v>
      </c>
      <c r="D91" s="645">
        <v>670</v>
      </c>
      <c r="E91" s="645">
        <v>2020</v>
      </c>
      <c r="F91" s="645">
        <v>148257</v>
      </c>
      <c r="G91" s="644">
        <f aca="true" t="shared" si="32" ref="G91:G121">H91+I91</f>
        <v>44</v>
      </c>
      <c r="H91" s="645">
        <v>10</v>
      </c>
      <c r="I91" s="646">
        <v>34</v>
      </c>
      <c r="J91" s="646">
        <v>11177</v>
      </c>
      <c r="K91" s="644">
        <f aca="true" t="shared" si="33" ref="K91:K121">L91+M91</f>
        <v>129211</v>
      </c>
      <c r="L91" s="645">
        <v>32300</v>
      </c>
      <c r="M91" s="645">
        <v>96911</v>
      </c>
      <c r="N91" s="644">
        <f aca="true" t="shared" si="34" ref="N91:N121">O91+P91</f>
        <v>2095</v>
      </c>
      <c r="O91" s="645">
        <v>520</v>
      </c>
      <c r="P91" s="645">
        <v>1575</v>
      </c>
      <c r="Q91" s="644">
        <f aca="true" t="shared" si="35" ref="Q91:Q121">R91+S91</f>
        <v>1137</v>
      </c>
      <c r="R91" s="645">
        <v>284</v>
      </c>
      <c r="S91" s="647">
        <v>853</v>
      </c>
      <c r="V91" s="328"/>
      <c r="W91" s="328"/>
      <c r="X91" s="328"/>
      <c r="Y91" s="328"/>
      <c r="Z91" s="328"/>
    </row>
    <row r="92" spans="1:26" s="327" customFormat="1" ht="29.25" customHeight="1">
      <c r="A92" s="660">
        <v>34</v>
      </c>
      <c r="B92" s="665" t="s">
        <v>386</v>
      </c>
      <c r="C92" s="644">
        <f t="shared" si="31"/>
        <v>1621.5</v>
      </c>
      <c r="D92" s="644">
        <f>(E92/4)*2</f>
        <v>540.5</v>
      </c>
      <c r="E92" s="645">
        <v>1081</v>
      </c>
      <c r="F92" s="645">
        <v>78084</v>
      </c>
      <c r="G92" s="644">
        <f t="shared" si="32"/>
        <v>0</v>
      </c>
      <c r="H92" s="644">
        <f aca="true" t="shared" si="36" ref="H92:H97">(I92/4)*2</f>
        <v>0</v>
      </c>
      <c r="I92" s="646">
        <v>0</v>
      </c>
      <c r="J92" s="646">
        <v>0</v>
      </c>
      <c r="K92" s="644">
        <f t="shared" si="33"/>
        <v>11402.5</v>
      </c>
      <c r="L92" s="645">
        <v>3902.5</v>
      </c>
      <c r="M92" s="662">
        <v>7500</v>
      </c>
      <c r="N92" s="644">
        <f t="shared" si="34"/>
        <v>679.5</v>
      </c>
      <c r="O92" s="644">
        <f aca="true" t="shared" si="37" ref="O92:O98">(P92/4)*2</f>
        <v>226.5</v>
      </c>
      <c r="P92" s="645">
        <v>453</v>
      </c>
      <c r="Q92" s="644">
        <f t="shared" si="35"/>
        <v>145.5</v>
      </c>
      <c r="R92" s="644">
        <f>(S92/4)*2</f>
        <v>48.5</v>
      </c>
      <c r="S92" s="647">
        <v>97</v>
      </c>
      <c r="T92" s="327" t="s">
        <v>7</v>
      </c>
      <c r="V92" s="328"/>
      <c r="W92" s="328"/>
      <c r="X92" s="328"/>
      <c r="Y92" s="328"/>
      <c r="Z92" s="328"/>
    </row>
    <row r="93" spans="1:26" s="327" customFormat="1" ht="29.25" customHeight="1">
      <c r="A93" s="660">
        <v>35</v>
      </c>
      <c r="B93" s="665" t="s">
        <v>387</v>
      </c>
      <c r="C93" s="644">
        <f t="shared" si="31"/>
        <v>2932.5</v>
      </c>
      <c r="D93" s="644">
        <f>(E93/4)*2</f>
        <v>977.5</v>
      </c>
      <c r="E93" s="645">
        <v>1955</v>
      </c>
      <c r="F93" s="645">
        <v>111006</v>
      </c>
      <c r="G93" s="644">
        <f t="shared" si="32"/>
        <v>64.5</v>
      </c>
      <c r="H93" s="644">
        <f t="shared" si="36"/>
        <v>21.5</v>
      </c>
      <c r="I93" s="646">
        <v>43</v>
      </c>
      <c r="J93" s="646">
        <v>8095</v>
      </c>
      <c r="K93" s="644">
        <f t="shared" si="33"/>
        <v>430926</v>
      </c>
      <c r="L93" s="662">
        <v>143884</v>
      </c>
      <c r="M93" s="662">
        <v>287042</v>
      </c>
      <c r="N93" s="644">
        <f t="shared" si="34"/>
        <v>8422.5</v>
      </c>
      <c r="O93" s="644">
        <f t="shared" si="37"/>
        <v>2807.5</v>
      </c>
      <c r="P93" s="645">
        <v>5615</v>
      </c>
      <c r="Q93" s="644">
        <f t="shared" si="35"/>
        <v>573</v>
      </c>
      <c r="R93" s="644">
        <f>(S93/4)*2</f>
        <v>191</v>
      </c>
      <c r="S93" s="647">
        <v>382</v>
      </c>
      <c r="T93" s="327" t="s">
        <v>8</v>
      </c>
      <c r="V93" s="328"/>
      <c r="W93" s="328"/>
      <c r="X93" s="328"/>
      <c r="Y93" s="328"/>
      <c r="Z93" s="328"/>
    </row>
    <row r="94" spans="1:26" s="327" customFormat="1" ht="29.25" customHeight="1">
      <c r="A94" s="660">
        <v>36</v>
      </c>
      <c r="B94" s="668" t="s">
        <v>388</v>
      </c>
      <c r="C94" s="644">
        <f t="shared" si="31"/>
        <v>2981</v>
      </c>
      <c r="D94" s="645">
        <v>1233</v>
      </c>
      <c r="E94" s="645">
        <v>1748</v>
      </c>
      <c r="F94" s="645">
        <v>59926</v>
      </c>
      <c r="G94" s="644">
        <f t="shared" si="32"/>
        <v>4.5</v>
      </c>
      <c r="H94" s="644">
        <f t="shared" si="36"/>
        <v>1.5</v>
      </c>
      <c r="I94" s="646">
        <v>3</v>
      </c>
      <c r="J94" s="646">
        <v>205</v>
      </c>
      <c r="K94" s="644">
        <f t="shared" si="33"/>
        <v>473312</v>
      </c>
      <c r="L94" s="645">
        <v>52004</v>
      </c>
      <c r="M94" s="662">
        <v>421308</v>
      </c>
      <c r="N94" s="644">
        <f t="shared" si="34"/>
        <v>550.5</v>
      </c>
      <c r="O94" s="644">
        <f t="shared" si="37"/>
        <v>183.5</v>
      </c>
      <c r="P94" s="645">
        <v>367</v>
      </c>
      <c r="Q94" s="644">
        <f t="shared" si="35"/>
        <v>797</v>
      </c>
      <c r="R94" s="645">
        <v>246</v>
      </c>
      <c r="S94" s="647">
        <v>551</v>
      </c>
      <c r="T94" s="327" t="s">
        <v>9</v>
      </c>
      <c r="V94" s="328"/>
      <c r="W94" s="328"/>
      <c r="X94" s="328"/>
      <c r="Y94" s="328"/>
      <c r="Z94" s="328"/>
    </row>
    <row r="95" spans="1:26" s="327" customFormat="1" ht="29.25" customHeight="1">
      <c r="A95" s="660">
        <v>37</v>
      </c>
      <c r="B95" s="668" t="s">
        <v>389</v>
      </c>
      <c r="C95" s="644">
        <f t="shared" si="31"/>
        <v>943.5</v>
      </c>
      <c r="D95" s="644">
        <f>(E95/4)*2</f>
        <v>314.5</v>
      </c>
      <c r="E95" s="645">
        <v>629</v>
      </c>
      <c r="F95" s="645">
        <v>35638</v>
      </c>
      <c r="G95" s="644">
        <f t="shared" si="32"/>
        <v>16.5</v>
      </c>
      <c r="H95" s="644">
        <f t="shared" si="36"/>
        <v>5.5</v>
      </c>
      <c r="I95" s="646">
        <v>11</v>
      </c>
      <c r="J95" s="646">
        <v>623</v>
      </c>
      <c r="K95" s="644">
        <f t="shared" si="33"/>
        <v>8457</v>
      </c>
      <c r="L95" s="644">
        <f>(M95/4)*2</f>
        <v>2819</v>
      </c>
      <c r="M95" s="645">
        <v>5638</v>
      </c>
      <c r="N95" s="644">
        <f t="shared" si="34"/>
        <v>1113</v>
      </c>
      <c r="O95" s="644">
        <f t="shared" si="37"/>
        <v>371</v>
      </c>
      <c r="P95" s="645">
        <v>742</v>
      </c>
      <c r="Q95" s="644">
        <f t="shared" si="35"/>
        <v>933</v>
      </c>
      <c r="R95" s="644">
        <f>(S95/4)*2</f>
        <v>311</v>
      </c>
      <c r="S95" s="647">
        <v>622</v>
      </c>
      <c r="T95" s="327" t="s">
        <v>213</v>
      </c>
      <c r="V95" s="328"/>
      <c r="W95" s="328"/>
      <c r="X95" s="328"/>
      <c r="Y95" s="328"/>
      <c r="Z95" s="328"/>
    </row>
    <row r="96" spans="1:26" s="327" customFormat="1" ht="29.25" customHeight="1">
      <c r="A96" s="660">
        <v>38</v>
      </c>
      <c r="B96" s="668" t="s">
        <v>390</v>
      </c>
      <c r="C96" s="644">
        <f t="shared" si="31"/>
        <v>12124.5</v>
      </c>
      <c r="D96" s="644">
        <f>(E96/4)*2</f>
        <v>4041.5</v>
      </c>
      <c r="E96" s="645">
        <v>8083</v>
      </c>
      <c r="F96" s="645">
        <v>232090</v>
      </c>
      <c r="G96" s="644">
        <f t="shared" si="32"/>
        <v>78</v>
      </c>
      <c r="H96" s="644">
        <f t="shared" si="36"/>
        <v>26</v>
      </c>
      <c r="I96" s="646">
        <v>52</v>
      </c>
      <c r="J96" s="646">
        <v>2403</v>
      </c>
      <c r="K96" s="644">
        <f t="shared" si="33"/>
        <v>65554.5</v>
      </c>
      <c r="L96" s="644">
        <f>(M96/4)*2</f>
        <v>21851.5</v>
      </c>
      <c r="M96" s="645">
        <v>43703</v>
      </c>
      <c r="N96" s="644">
        <f t="shared" si="34"/>
        <v>7074</v>
      </c>
      <c r="O96" s="644">
        <f t="shared" si="37"/>
        <v>2358</v>
      </c>
      <c r="P96" s="645">
        <v>4716</v>
      </c>
      <c r="Q96" s="644">
        <f t="shared" si="35"/>
        <v>4537.5</v>
      </c>
      <c r="R96" s="644">
        <f>(S96/4)*2</f>
        <v>1512.5</v>
      </c>
      <c r="S96" s="647">
        <v>3025</v>
      </c>
      <c r="V96" s="328"/>
      <c r="W96" s="328"/>
      <c r="X96" s="328"/>
      <c r="Y96" s="328"/>
      <c r="Z96" s="328"/>
    </row>
    <row r="97" spans="1:26" s="327" customFormat="1" ht="29.25" customHeight="1">
      <c r="A97" s="660">
        <v>39</v>
      </c>
      <c r="B97" s="668" t="s">
        <v>391</v>
      </c>
      <c r="C97" s="644">
        <f t="shared" si="31"/>
        <v>628</v>
      </c>
      <c r="D97" s="644">
        <v>209</v>
      </c>
      <c r="E97" s="645">
        <v>419</v>
      </c>
      <c r="F97" s="645">
        <v>34566</v>
      </c>
      <c r="G97" s="644">
        <f t="shared" si="32"/>
        <v>124.5</v>
      </c>
      <c r="H97" s="644">
        <f t="shared" si="36"/>
        <v>41.5</v>
      </c>
      <c r="I97" s="646">
        <v>83</v>
      </c>
      <c r="J97" s="646">
        <v>7518</v>
      </c>
      <c r="K97" s="644">
        <f t="shared" si="33"/>
        <v>33063</v>
      </c>
      <c r="L97" s="644">
        <f>(M97/4)*2</f>
        <v>11021</v>
      </c>
      <c r="M97" s="645">
        <v>22042</v>
      </c>
      <c r="N97" s="644">
        <f t="shared" si="34"/>
        <v>3741</v>
      </c>
      <c r="O97" s="644">
        <f t="shared" si="37"/>
        <v>1247</v>
      </c>
      <c r="P97" s="645">
        <v>2494</v>
      </c>
      <c r="Q97" s="644">
        <f t="shared" si="35"/>
        <v>462</v>
      </c>
      <c r="R97" s="644">
        <f>(S97/4)*2</f>
        <v>154</v>
      </c>
      <c r="S97" s="647">
        <v>308</v>
      </c>
      <c r="T97" s="327" t="s">
        <v>10</v>
      </c>
      <c r="V97" s="328"/>
      <c r="W97" s="328"/>
      <c r="X97" s="328"/>
      <c r="Y97" s="328"/>
      <c r="Z97" s="328"/>
    </row>
    <row r="98" spans="1:26" s="327" customFormat="1" ht="29.25" customHeight="1">
      <c r="A98" s="660">
        <v>40</v>
      </c>
      <c r="B98" s="668" t="s">
        <v>392</v>
      </c>
      <c r="C98" s="644">
        <f t="shared" si="31"/>
        <v>3760.5</v>
      </c>
      <c r="D98" s="644">
        <f>(E98/4)*2</f>
        <v>1253.5</v>
      </c>
      <c r="E98" s="645">
        <v>2507</v>
      </c>
      <c r="F98" s="645">
        <v>276024</v>
      </c>
      <c r="G98" s="644">
        <f t="shared" si="32"/>
        <v>95</v>
      </c>
      <c r="H98" s="645">
        <v>10</v>
      </c>
      <c r="I98" s="646">
        <v>85</v>
      </c>
      <c r="J98" s="646">
        <v>25090</v>
      </c>
      <c r="K98" s="644">
        <f t="shared" si="33"/>
        <v>179536.5</v>
      </c>
      <c r="L98" s="644">
        <f>(M98/4)*2</f>
        <v>59845.5</v>
      </c>
      <c r="M98" s="645">
        <v>119691</v>
      </c>
      <c r="N98" s="644">
        <f t="shared" si="34"/>
        <v>14958</v>
      </c>
      <c r="O98" s="644">
        <f t="shared" si="37"/>
        <v>4986</v>
      </c>
      <c r="P98" s="645">
        <v>9972</v>
      </c>
      <c r="Q98" s="644">
        <f t="shared" si="35"/>
        <v>7645.5</v>
      </c>
      <c r="R98" s="644">
        <f>(S98/4)*2</f>
        <v>2548.5</v>
      </c>
      <c r="S98" s="647">
        <v>5097</v>
      </c>
      <c r="V98" s="328"/>
      <c r="W98" s="328"/>
      <c r="X98" s="328"/>
      <c r="Y98" s="328"/>
      <c r="Z98" s="328"/>
    </row>
    <row r="99" spans="1:26" s="327" customFormat="1" ht="29.25" customHeight="1">
      <c r="A99" s="660">
        <v>41</v>
      </c>
      <c r="B99" s="668" t="s">
        <v>393</v>
      </c>
      <c r="C99" s="644">
        <f t="shared" si="31"/>
        <v>1625</v>
      </c>
      <c r="D99" s="644">
        <v>540</v>
      </c>
      <c r="E99" s="645">
        <v>1085</v>
      </c>
      <c r="F99" s="645">
        <v>75129</v>
      </c>
      <c r="G99" s="644">
        <f t="shared" si="32"/>
        <v>30</v>
      </c>
      <c r="H99" s="644">
        <f>(I99/4)*2</f>
        <v>10</v>
      </c>
      <c r="I99" s="646">
        <v>20</v>
      </c>
      <c r="J99" s="646">
        <v>507</v>
      </c>
      <c r="K99" s="644">
        <f t="shared" si="33"/>
        <v>88654</v>
      </c>
      <c r="L99" s="645">
        <v>29500</v>
      </c>
      <c r="M99" s="645">
        <v>59154</v>
      </c>
      <c r="N99" s="644">
        <f t="shared" si="34"/>
        <v>8535</v>
      </c>
      <c r="O99" s="645">
        <v>2800</v>
      </c>
      <c r="P99" s="645">
        <v>5735</v>
      </c>
      <c r="Q99" s="644">
        <f t="shared" si="35"/>
        <v>2683</v>
      </c>
      <c r="R99" s="645">
        <v>890</v>
      </c>
      <c r="S99" s="647">
        <v>1793</v>
      </c>
      <c r="T99" s="327" t="s">
        <v>11</v>
      </c>
      <c r="V99" s="328"/>
      <c r="W99" s="328"/>
      <c r="X99" s="328"/>
      <c r="Y99" s="328"/>
      <c r="Z99" s="328"/>
    </row>
    <row r="100" spans="1:26" s="327" customFormat="1" ht="29.25" customHeight="1">
      <c r="A100" s="660">
        <v>42</v>
      </c>
      <c r="B100" s="668" t="s">
        <v>394</v>
      </c>
      <c r="C100" s="644">
        <f t="shared" si="31"/>
        <v>282</v>
      </c>
      <c r="D100" s="649">
        <f>(E100/4)*2</f>
        <v>94</v>
      </c>
      <c r="E100" s="645">
        <v>188</v>
      </c>
      <c r="F100" s="645">
        <v>9488</v>
      </c>
      <c r="G100" s="644">
        <f t="shared" si="32"/>
        <v>15</v>
      </c>
      <c r="H100" s="649">
        <f>(I100/4)*2</f>
        <v>5</v>
      </c>
      <c r="I100" s="646">
        <v>10</v>
      </c>
      <c r="J100" s="646">
        <v>545</v>
      </c>
      <c r="K100" s="644">
        <f t="shared" si="33"/>
        <v>2673</v>
      </c>
      <c r="L100" s="649">
        <f>(M100/4)*2</f>
        <v>891</v>
      </c>
      <c r="M100" s="645">
        <v>1782</v>
      </c>
      <c r="N100" s="644">
        <f t="shared" si="34"/>
        <v>1786.5</v>
      </c>
      <c r="O100" s="649">
        <f>(P100/4)*2</f>
        <v>595.5</v>
      </c>
      <c r="P100" s="645">
        <v>1191</v>
      </c>
      <c r="Q100" s="644">
        <f t="shared" si="35"/>
        <v>1915.5</v>
      </c>
      <c r="R100" s="649">
        <f>(S100/4)*2</f>
        <v>638.5</v>
      </c>
      <c r="S100" s="647">
        <v>1277</v>
      </c>
      <c r="T100" s="327" t="s">
        <v>95</v>
      </c>
      <c r="V100" s="328"/>
      <c r="W100" s="328"/>
      <c r="X100" s="328"/>
      <c r="Y100" s="328"/>
      <c r="Z100" s="328"/>
    </row>
    <row r="101" spans="1:26" s="327" customFormat="1" ht="29.25" customHeight="1">
      <c r="A101" s="660">
        <v>43</v>
      </c>
      <c r="B101" s="668" t="s">
        <v>395</v>
      </c>
      <c r="C101" s="644">
        <f t="shared" si="31"/>
        <v>5481</v>
      </c>
      <c r="D101" s="644">
        <f>(E101/4)*2</f>
        <v>1827</v>
      </c>
      <c r="E101" s="645">
        <v>3654</v>
      </c>
      <c r="F101" s="645">
        <v>850159</v>
      </c>
      <c r="G101" s="644">
        <f t="shared" si="32"/>
        <v>22</v>
      </c>
      <c r="H101" s="644">
        <v>7</v>
      </c>
      <c r="I101" s="646">
        <v>15</v>
      </c>
      <c r="J101" s="646">
        <v>1102</v>
      </c>
      <c r="K101" s="644">
        <f t="shared" si="33"/>
        <v>220795</v>
      </c>
      <c r="L101" s="645">
        <v>73574</v>
      </c>
      <c r="M101" s="662">
        <v>147221</v>
      </c>
      <c r="N101" s="644">
        <f t="shared" si="34"/>
        <v>6634</v>
      </c>
      <c r="O101" s="644">
        <v>2211</v>
      </c>
      <c r="P101" s="645">
        <v>4423</v>
      </c>
      <c r="Q101" s="644">
        <f t="shared" si="35"/>
        <v>1258</v>
      </c>
      <c r="R101" s="644">
        <v>419</v>
      </c>
      <c r="S101" s="647">
        <v>839</v>
      </c>
      <c r="T101" s="327" t="s">
        <v>12</v>
      </c>
      <c r="V101" s="328"/>
      <c r="W101" s="328"/>
      <c r="X101" s="328"/>
      <c r="Y101" s="328"/>
      <c r="Z101" s="328"/>
    </row>
    <row r="102" spans="1:26" s="327" customFormat="1" ht="29.25" customHeight="1">
      <c r="A102" s="660">
        <v>44</v>
      </c>
      <c r="B102" s="668" t="s">
        <v>396</v>
      </c>
      <c r="C102" s="720">
        <f t="shared" si="31"/>
        <v>5558</v>
      </c>
      <c r="D102" s="720">
        <v>1111</v>
      </c>
      <c r="E102" s="720">
        <v>4447</v>
      </c>
      <c r="F102" s="645">
        <v>670525</v>
      </c>
      <c r="G102" s="644">
        <f t="shared" si="32"/>
        <v>80</v>
      </c>
      <c r="H102" s="645">
        <v>16</v>
      </c>
      <c r="I102" s="646">
        <v>64</v>
      </c>
      <c r="J102" s="646">
        <v>1102</v>
      </c>
      <c r="K102" s="644">
        <f t="shared" si="33"/>
        <v>48792</v>
      </c>
      <c r="L102" s="645">
        <v>9758</v>
      </c>
      <c r="M102" s="645">
        <v>39034</v>
      </c>
      <c r="N102" s="644">
        <f t="shared" si="34"/>
        <v>7773</v>
      </c>
      <c r="O102" s="645">
        <v>1554</v>
      </c>
      <c r="P102" s="645">
        <v>6219</v>
      </c>
      <c r="Q102" s="644">
        <f t="shared" si="35"/>
        <v>805</v>
      </c>
      <c r="R102" s="645">
        <v>161</v>
      </c>
      <c r="S102" s="647">
        <v>644</v>
      </c>
      <c r="T102" s="327" t="s">
        <v>13</v>
      </c>
      <c r="V102" s="328"/>
      <c r="W102" s="328"/>
      <c r="X102" s="328"/>
      <c r="Y102" s="328"/>
      <c r="Z102" s="328"/>
    </row>
    <row r="103" spans="1:26" s="327" customFormat="1" ht="29.25" customHeight="1">
      <c r="A103" s="660">
        <v>45</v>
      </c>
      <c r="B103" s="669" t="s">
        <v>397</v>
      </c>
      <c r="C103" s="644">
        <f t="shared" si="31"/>
        <v>4807.5</v>
      </c>
      <c r="D103" s="644">
        <f>(E103/4)*2</f>
        <v>1602.5</v>
      </c>
      <c r="E103" s="645">
        <v>3205</v>
      </c>
      <c r="F103" s="645">
        <v>355462</v>
      </c>
      <c r="G103" s="644">
        <f t="shared" si="32"/>
        <v>355.5</v>
      </c>
      <c r="H103" s="644">
        <f>(I103/4)*2</f>
        <v>118.5</v>
      </c>
      <c r="I103" s="646">
        <v>237</v>
      </c>
      <c r="J103" s="646">
        <v>185789</v>
      </c>
      <c r="K103" s="644">
        <f t="shared" si="33"/>
        <v>240435</v>
      </c>
      <c r="L103" s="644">
        <f>(M103/4)*2</f>
        <v>80145</v>
      </c>
      <c r="M103" s="645">
        <v>160290</v>
      </c>
      <c r="N103" s="644">
        <f t="shared" si="34"/>
        <v>3955.5</v>
      </c>
      <c r="O103" s="644">
        <f>(P103/4)*2</f>
        <v>1318.5</v>
      </c>
      <c r="P103" s="645">
        <v>2637</v>
      </c>
      <c r="Q103" s="644">
        <f t="shared" si="35"/>
        <v>5340</v>
      </c>
      <c r="R103" s="644">
        <f>(S103/4)*2</f>
        <v>1780</v>
      </c>
      <c r="S103" s="647">
        <v>3560</v>
      </c>
      <c r="V103" s="328"/>
      <c r="W103" s="328"/>
      <c r="X103" s="328"/>
      <c r="Y103" s="328"/>
      <c r="Z103" s="328"/>
    </row>
    <row r="104" spans="1:26" s="327" customFormat="1" ht="29.25" customHeight="1">
      <c r="A104" s="660">
        <v>46</v>
      </c>
      <c r="B104" s="669" t="s">
        <v>398</v>
      </c>
      <c r="C104" s="644">
        <f t="shared" si="31"/>
        <v>1738.5</v>
      </c>
      <c r="D104" s="644">
        <f>(E104/4)*2</f>
        <v>579.5</v>
      </c>
      <c r="E104" s="645">
        <v>1159</v>
      </c>
      <c r="F104" s="645">
        <v>142155</v>
      </c>
      <c r="G104" s="644">
        <f t="shared" si="32"/>
        <v>52.5</v>
      </c>
      <c r="H104" s="644">
        <f>(I104/4)*2</f>
        <v>17.5</v>
      </c>
      <c r="I104" s="646">
        <v>35</v>
      </c>
      <c r="J104" s="646">
        <v>1037</v>
      </c>
      <c r="K104" s="644">
        <f t="shared" si="33"/>
        <v>42162</v>
      </c>
      <c r="L104" s="644">
        <f>(M104/4)*2</f>
        <v>14054</v>
      </c>
      <c r="M104" s="645">
        <v>28108</v>
      </c>
      <c r="N104" s="644">
        <f t="shared" si="34"/>
        <v>4716</v>
      </c>
      <c r="O104" s="644">
        <f>(P104/4)*2</f>
        <v>1572</v>
      </c>
      <c r="P104" s="645">
        <v>3144</v>
      </c>
      <c r="Q104" s="644">
        <f t="shared" si="35"/>
        <v>577.5</v>
      </c>
      <c r="R104" s="644">
        <f>(S104/4)*2</f>
        <v>192.5</v>
      </c>
      <c r="S104" s="647">
        <v>385</v>
      </c>
      <c r="T104" s="327" t="s">
        <v>11</v>
      </c>
      <c r="V104" s="328"/>
      <c r="W104" s="328"/>
      <c r="X104" s="328"/>
      <c r="Y104" s="328"/>
      <c r="Z104" s="328"/>
    </row>
    <row r="105" spans="1:26" s="327" customFormat="1" ht="29.25" customHeight="1">
      <c r="A105" s="660">
        <v>47</v>
      </c>
      <c r="B105" s="669" t="s">
        <v>399</v>
      </c>
      <c r="C105" s="644">
        <f t="shared" si="31"/>
        <v>2103</v>
      </c>
      <c r="D105" s="644">
        <f>(E105/4)*2</f>
        <v>701</v>
      </c>
      <c r="E105" s="645">
        <v>1402</v>
      </c>
      <c r="F105" s="645">
        <v>194929</v>
      </c>
      <c r="G105" s="644">
        <f t="shared" si="32"/>
        <v>15.5</v>
      </c>
      <c r="H105" s="666">
        <v>10.5</v>
      </c>
      <c r="I105" s="646">
        <v>5</v>
      </c>
      <c r="J105" s="646">
        <v>162</v>
      </c>
      <c r="K105" s="644">
        <f t="shared" si="33"/>
        <v>35299</v>
      </c>
      <c r="L105" s="666">
        <v>76</v>
      </c>
      <c r="M105" s="645">
        <v>35223</v>
      </c>
      <c r="N105" s="644">
        <f t="shared" si="34"/>
        <v>1727</v>
      </c>
      <c r="O105" s="645">
        <v>570</v>
      </c>
      <c r="P105" s="645">
        <v>1157</v>
      </c>
      <c r="Q105" s="644">
        <f t="shared" si="35"/>
        <v>1978</v>
      </c>
      <c r="R105" s="644">
        <v>659</v>
      </c>
      <c r="S105" s="647">
        <v>1319</v>
      </c>
      <c r="T105" s="327" t="s">
        <v>96</v>
      </c>
      <c r="V105" s="328"/>
      <c r="W105" s="328"/>
      <c r="X105" s="328"/>
      <c r="Y105" s="328"/>
      <c r="Z105" s="328"/>
    </row>
    <row r="106" spans="1:26" s="327" customFormat="1" ht="29.25" customHeight="1">
      <c r="A106" s="660">
        <v>48</v>
      </c>
      <c r="B106" s="669" t="s">
        <v>400</v>
      </c>
      <c r="C106" s="644">
        <f t="shared" si="31"/>
        <v>5687</v>
      </c>
      <c r="D106" s="645">
        <v>1600</v>
      </c>
      <c r="E106" s="645">
        <v>4087</v>
      </c>
      <c r="F106" s="645">
        <v>278378</v>
      </c>
      <c r="G106" s="644">
        <f t="shared" si="32"/>
        <v>13.5</v>
      </c>
      <c r="H106" s="644">
        <f>(I106/4)*2</f>
        <v>4.5</v>
      </c>
      <c r="I106" s="646">
        <v>9</v>
      </c>
      <c r="J106" s="646">
        <v>98444</v>
      </c>
      <c r="K106" s="644">
        <f t="shared" si="33"/>
        <v>560142</v>
      </c>
      <c r="L106" s="645">
        <v>170000</v>
      </c>
      <c r="M106" s="645">
        <v>390142</v>
      </c>
      <c r="N106" s="644">
        <f t="shared" si="34"/>
        <v>15479</v>
      </c>
      <c r="O106" s="645">
        <v>4500</v>
      </c>
      <c r="P106" s="645">
        <v>10979</v>
      </c>
      <c r="Q106" s="644">
        <f t="shared" si="35"/>
        <v>1841</v>
      </c>
      <c r="R106" s="645">
        <v>550</v>
      </c>
      <c r="S106" s="647">
        <v>1291</v>
      </c>
      <c r="V106" s="328"/>
      <c r="W106" s="328"/>
      <c r="X106" s="328"/>
      <c r="Y106" s="328"/>
      <c r="Z106" s="328"/>
    </row>
    <row r="107" spans="1:26" s="327" customFormat="1" ht="29.25" customHeight="1">
      <c r="A107" s="660">
        <v>49</v>
      </c>
      <c r="B107" s="669" t="s">
        <v>401</v>
      </c>
      <c r="C107" s="644">
        <f t="shared" si="31"/>
        <v>2490</v>
      </c>
      <c r="D107" s="644">
        <f>(E107/4)*2</f>
        <v>830</v>
      </c>
      <c r="E107" s="645">
        <v>1660</v>
      </c>
      <c r="F107" s="645">
        <v>255668</v>
      </c>
      <c r="G107" s="644">
        <f t="shared" si="32"/>
        <v>94</v>
      </c>
      <c r="H107" s="644">
        <v>31</v>
      </c>
      <c r="I107" s="646">
        <v>63</v>
      </c>
      <c r="J107" s="646">
        <v>4384</v>
      </c>
      <c r="K107" s="644">
        <f t="shared" si="33"/>
        <v>55346</v>
      </c>
      <c r="L107" s="645">
        <v>18375</v>
      </c>
      <c r="M107" s="662">
        <v>36971</v>
      </c>
      <c r="N107" s="644">
        <f t="shared" si="34"/>
        <v>871</v>
      </c>
      <c r="O107" s="644">
        <v>290</v>
      </c>
      <c r="P107" s="645">
        <v>581</v>
      </c>
      <c r="Q107" s="644">
        <f t="shared" si="35"/>
        <v>1509</v>
      </c>
      <c r="R107" s="644">
        <f>(S107/4)*2</f>
        <v>503</v>
      </c>
      <c r="S107" s="647">
        <v>1006</v>
      </c>
      <c r="T107" s="327" t="s">
        <v>97</v>
      </c>
      <c r="U107" s="328"/>
      <c r="V107" s="328"/>
      <c r="W107" s="328"/>
      <c r="X107" s="328"/>
      <c r="Y107" s="328"/>
      <c r="Z107" s="328"/>
    </row>
    <row r="108" spans="1:26" s="327" customFormat="1" ht="29.25" customHeight="1">
      <c r="A108" s="660">
        <v>50</v>
      </c>
      <c r="B108" s="669" t="s">
        <v>402</v>
      </c>
      <c r="C108" s="644">
        <f t="shared" si="31"/>
        <v>3856.5</v>
      </c>
      <c r="D108" s="644">
        <f>(E108/4)*2</f>
        <v>1285.5</v>
      </c>
      <c r="E108" s="645">
        <v>2571</v>
      </c>
      <c r="F108" s="645">
        <v>123347</v>
      </c>
      <c r="G108" s="644">
        <f t="shared" si="32"/>
        <v>28.5</v>
      </c>
      <c r="H108" s="644">
        <f>(I108/4)*2</f>
        <v>9.5</v>
      </c>
      <c r="I108" s="646">
        <v>19</v>
      </c>
      <c r="J108" s="646">
        <v>407</v>
      </c>
      <c r="K108" s="644">
        <f t="shared" si="33"/>
        <v>47911.5</v>
      </c>
      <c r="L108" s="644">
        <f>(M108/4)*2</f>
        <v>15970.5</v>
      </c>
      <c r="M108" s="645">
        <v>31941</v>
      </c>
      <c r="N108" s="644">
        <f t="shared" si="34"/>
        <v>4093.5</v>
      </c>
      <c r="O108" s="644">
        <f>(P108/4)*2</f>
        <v>1364.5</v>
      </c>
      <c r="P108" s="645">
        <v>2729</v>
      </c>
      <c r="Q108" s="644">
        <f t="shared" si="35"/>
        <v>921</v>
      </c>
      <c r="R108" s="644">
        <f>(S108/4)*2</f>
        <v>307</v>
      </c>
      <c r="S108" s="647">
        <v>614</v>
      </c>
      <c r="U108" s="328"/>
      <c r="V108" s="328"/>
      <c r="W108" s="328"/>
      <c r="X108" s="328"/>
      <c r="Y108" s="328"/>
      <c r="Z108" s="328"/>
    </row>
    <row r="109" spans="1:26" s="327" customFormat="1" ht="29.25" customHeight="1">
      <c r="A109" s="660">
        <v>51</v>
      </c>
      <c r="B109" s="670" t="s">
        <v>403</v>
      </c>
      <c r="C109" s="720">
        <f t="shared" si="31"/>
        <v>13390.5</v>
      </c>
      <c r="D109" s="720">
        <f>(E109/4)*2</f>
        <v>4463.5</v>
      </c>
      <c r="E109" s="720">
        <v>8927</v>
      </c>
      <c r="F109" s="645">
        <v>458973</v>
      </c>
      <c r="G109" s="644">
        <f t="shared" si="32"/>
        <v>103.5</v>
      </c>
      <c r="H109" s="644">
        <f>(I109/4)*2</f>
        <v>34.5</v>
      </c>
      <c r="I109" s="646">
        <v>69</v>
      </c>
      <c r="J109" s="646">
        <v>22480</v>
      </c>
      <c r="K109" s="644">
        <f t="shared" si="33"/>
        <v>74173.5</v>
      </c>
      <c r="L109" s="644">
        <f>(M109/4)*2</f>
        <v>24724.5</v>
      </c>
      <c r="M109" s="645">
        <v>49449</v>
      </c>
      <c r="N109" s="644">
        <f t="shared" si="34"/>
        <v>3166.5</v>
      </c>
      <c r="O109" s="644">
        <f>(P109/4)*2</f>
        <v>1055.5</v>
      </c>
      <c r="P109" s="645">
        <v>2111</v>
      </c>
      <c r="Q109" s="644">
        <f t="shared" si="35"/>
        <v>2943</v>
      </c>
      <c r="R109" s="644">
        <f>(S109/4)*2</f>
        <v>981</v>
      </c>
      <c r="S109" s="647">
        <v>1962</v>
      </c>
      <c r="T109" s="327" t="s">
        <v>15</v>
      </c>
      <c r="U109" s="328"/>
      <c r="V109" s="328"/>
      <c r="W109" s="328"/>
      <c r="X109" s="328"/>
      <c r="Y109" s="328"/>
      <c r="Z109" s="328"/>
    </row>
    <row r="110" spans="1:26" s="327" customFormat="1" ht="29.25" customHeight="1">
      <c r="A110" s="660">
        <v>52</v>
      </c>
      <c r="B110" s="670" t="s">
        <v>404</v>
      </c>
      <c r="C110" s="644">
        <f t="shared" si="31"/>
        <v>22325</v>
      </c>
      <c r="D110" s="645">
        <v>3568</v>
      </c>
      <c r="E110" s="645">
        <v>18757</v>
      </c>
      <c r="F110" s="645">
        <v>270141</v>
      </c>
      <c r="G110" s="644">
        <f t="shared" si="32"/>
        <v>42</v>
      </c>
      <c r="H110" s="645">
        <v>19</v>
      </c>
      <c r="I110" s="646">
        <v>23</v>
      </c>
      <c r="J110" s="646">
        <v>1510</v>
      </c>
      <c r="K110" s="644">
        <f t="shared" si="33"/>
        <v>210769</v>
      </c>
      <c r="L110" s="645">
        <v>59218</v>
      </c>
      <c r="M110" s="645">
        <v>151551</v>
      </c>
      <c r="N110" s="644">
        <f t="shared" si="34"/>
        <v>8437</v>
      </c>
      <c r="O110" s="645">
        <v>2566</v>
      </c>
      <c r="P110" s="645">
        <v>5871</v>
      </c>
      <c r="Q110" s="644">
        <f t="shared" si="35"/>
        <v>465</v>
      </c>
      <c r="R110" s="667">
        <v>289</v>
      </c>
      <c r="S110" s="647">
        <v>176</v>
      </c>
      <c r="T110" s="327" t="s">
        <v>98</v>
      </c>
      <c r="U110" s="328"/>
      <c r="V110" s="328"/>
      <c r="W110" s="328"/>
      <c r="X110" s="328"/>
      <c r="Y110" s="328"/>
      <c r="Z110" s="328"/>
    </row>
    <row r="111" spans="1:26" s="327" customFormat="1" ht="29.25" customHeight="1">
      <c r="A111" s="660">
        <v>53</v>
      </c>
      <c r="B111" s="670" t="s">
        <v>405</v>
      </c>
      <c r="C111" s="644">
        <f t="shared" si="31"/>
        <v>10510</v>
      </c>
      <c r="D111" s="645">
        <v>3600</v>
      </c>
      <c r="E111" s="645">
        <v>6910</v>
      </c>
      <c r="F111" s="645">
        <v>1334994</v>
      </c>
      <c r="G111" s="644">
        <f t="shared" si="32"/>
        <v>130</v>
      </c>
      <c r="H111" s="645">
        <v>45</v>
      </c>
      <c r="I111" s="646">
        <v>85</v>
      </c>
      <c r="J111" s="646">
        <v>19779</v>
      </c>
      <c r="K111" s="644">
        <f t="shared" si="33"/>
        <v>585853</v>
      </c>
      <c r="L111" s="645">
        <v>196200</v>
      </c>
      <c r="M111" s="645">
        <v>389653</v>
      </c>
      <c r="N111" s="644">
        <f t="shared" si="34"/>
        <v>56978</v>
      </c>
      <c r="O111" s="645">
        <v>19400</v>
      </c>
      <c r="P111" s="645">
        <v>37578</v>
      </c>
      <c r="Q111" s="644">
        <f t="shared" si="35"/>
        <v>8375</v>
      </c>
      <c r="R111" s="645">
        <v>2900</v>
      </c>
      <c r="S111" s="647">
        <v>5475</v>
      </c>
      <c r="U111" s="328"/>
      <c r="V111" s="328"/>
      <c r="W111" s="328"/>
      <c r="X111" s="328"/>
      <c r="Y111" s="328"/>
      <c r="Z111" s="328"/>
    </row>
    <row r="112" spans="1:26" s="327" customFormat="1" ht="29.25" customHeight="1">
      <c r="A112" s="660">
        <v>54</v>
      </c>
      <c r="B112" s="670" t="s">
        <v>406</v>
      </c>
      <c r="C112" s="644">
        <f t="shared" si="31"/>
        <v>988.5</v>
      </c>
      <c r="D112" s="649">
        <f>(E112/4)*2</f>
        <v>329.5</v>
      </c>
      <c r="E112" s="645">
        <v>659</v>
      </c>
      <c r="F112" s="645">
        <v>45957</v>
      </c>
      <c r="G112" s="644">
        <f t="shared" si="32"/>
        <v>61.5</v>
      </c>
      <c r="H112" s="649">
        <f>(I112/4)*2</f>
        <v>20.5</v>
      </c>
      <c r="I112" s="646">
        <v>41</v>
      </c>
      <c r="J112" s="646">
        <v>7229</v>
      </c>
      <c r="K112" s="644">
        <f t="shared" si="33"/>
        <v>46335</v>
      </c>
      <c r="L112" s="649">
        <f>(M112/4)*2</f>
        <v>15445</v>
      </c>
      <c r="M112" s="645">
        <v>30890</v>
      </c>
      <c r="N112" s="644">
        <f t="shared" si="34"/>
        <v>3900</v>
      </c>
      <c r="O112" s="649">
        <f>(P112/4)*2</f>
        <v>1300</v>
      </c>
      <c r="P112" s="645">
        <v>2600</v>
      </c>
      <c r="Q112" s="644">
        <f t="shared" si="35"/>
        <v>450</v>
      </c>
      <c r="R112" s="649">
        <f>(S112/4)*2</f>
        <v>150</v>
      </c>
      <c r="S112" s="647">
        <v>300</v>
      </c>
      <c r="U112" s="328"/>
      <c r="V112" s="328"/>
      <c r="W112" s="328"/>
      <c r="X112" s="328"/>
      <c r="Y112" s="328"/>
      <c r="Z112" s="328"/>
    </row>
    <row r="113" spans="1:26" s="327" customFormat="1" ht="29.25" customHeight="1">
      <c r="A113" s="660">
        <v>55</v>
      </c>
      <c r="B113" s="670" t="s">
        <v>407</v>
      </c>
      <c r="C113" s="720">
        <f t="shared" si="31"/>
        <v>4408</v>
      </c>
      <c r="D113" s="720">
        <v>1500</v>
      </c>
      <c r="E113" s="720">
        <v>2908</v>
      </c>
      <c r="F113" s="645">
        <v>199682</v>
      </c>
      <c r="G113" s="644">
        <f t="shared" si="32"/>
        <v>203</v>
      </c>
      <c r="H113" s="644">
        <v>70</v>
      </c>
      <c r="I113" s="646">
        <v>133</v>
      </c>
      <c r="J113" s="646">
        <v>9705</v>
      </c>
      <c r="K113" s="644">
        <f t="shared" si="33"/>
        <v>208264</v>
      </c>
      <c r="L113" s="645">
        <v>50000</v>
      </c>
      <c r="M113" s="645">
        <v>158264</v>
      </c>
      <c r="N113" s="644">
        <f t="shared" si="34"/>
        <v>32827</v>
      </c>
      <c r="O113" s="645">
        <v>11000</v>
      </c>
      <c r="P113" s="645">
        <v>21827</v>
      </c>
      <c r="Q113" s="644">
        <f t="shared" si="35"/>
        <v>3737</v>
      </c>
      <c r="R113" s="645">
        <v>1500</v>
      </c>
      <c r="S113" s="647">
        <v>2237</v>
      </c>
      <c r="T113" s="327" t="s">
        <v>16</v>
      </c>
      <c r="U113" s="328"/>
      <c r="V113" s="328"/>
      <c r="W113" s="328"/>
      <c r="X113" s="328"/>
      <c r="Y113" s="328"/>
      <c r="Z113" s="328"/>
    </row>
    <row r="114" spans="1:26" s="327" customFormat="1" ht="29.25" customHeight="1">
      <c r="A114" s="660">
        <v>56</v>
      </c>
      <c r="B114" s="670" t="s">
        <v>408</v>
      </c>
      <c r="C114" s="644">
        <f t="shared" si="31"/>
        <v>4821</v>
      </c>
      <c r="D114" s="645">
        <v>1601</v>
      </c>
      <c r="E114" s="645">
        <v>3220</v>
      </c>
      <c r="F114" s="645">
        <v>251482</v>
      </c>
      <c r="G114" s="644">
        <f t="shared" si="32"/>
        <v>46.5</v>
      </c>
      <c r="H114" s="644">
        <f>(I114/4)*2</f>
        <v>15.5</v>
      </c>
      <c r="I114" s="646">
        <v>31</v>
      </c>
      <c r="J114" s="646">
        <v>8634</v>
      </c>
      <c r="K114" s="644">
        <f t="shared" si="33"/>
        <v>411495</v>
      </c>
      <c r="L114" s="644">
        <f>(M114/4)*2</f>
        <v>137165</v>
      </c>
      <c r="M114" s="645">
        <v>274330</v>
      </c>
      <c r="N114" s="644">
        <f t="shared" si="34"/>
        <v>6282</v>
      </c>
      <c r="O114" s="644">
        <f>(P114/4)*2</f>
        <v>2094</v>
      </c>
      <c r="P114" s="645">
        <v>4188</v>
      </c>
      <c r="Q114" s="644">
        <f t="shared" si="35"/>
        <v>2014.5</v>
      </c>
      <c r="R114" s="644">
        <f>(S114/4)*2</f>
        <v>671.5</v>
      </c>
      <c r="S114" s="647">
        <v>1343</v>
      </c>
      <c r="U114" s="328"/>
      <c r="V114" s="328"/>
      <c r="W114" s="328"/>
      <c r="X114" s="328"/>
      <c r="Y114" s="328"/>
      <c r="Z114" s="328"/>
    </row>
    <row r="115" spans="1:26" s="327" customFormat="1" ht="29.25" customHeight="1">
      <c r="A115" s="660">
        <v>57</v>
      </c>
      <c r="B115" s="670" t="s">
        <v>409</v>
      </c>
      <c r="C115" s="644">
        <f t="shared" si="31"/>
        <v>17031</v>
      </c>
      <c r="D115" s="645">
        <v>4300</v>
      </c>
      <c r="E115" s="645">
        <v>12731</v>
      </c>
      <c r="F115" s="645">
        <v>393191</v>
      </c>
      <c r="G115" s="644">
        <f t="shared" si="32"/>
        <v>7</v>
      </c>
      <c r="H115" s="644">
        <v>2</v>
      </c>
      <c r="I115" s="646">
        <v>5</v>
      </c>
      <c r="J115" s="646">
        <v>123</v>
      </c>
      <c r="K115" s="644">
        <f t="shared" si="33"/>
        <v>623459</v>
      </c>
      <c r="L115" s="645">
        <v>156000</v>
      </c>
      <c r="M115" s="645">
        <v>467459</v>
      </c>
      <c r="N115" s="644">
        <f t="shared" si="34"/>
        <v>9027</v>
      </c>
      <c r="O115" s="645">
        <v>2000</v>
      </c>
      <c r="P115" s="645">
        <v>7027</v>
      </c>
      <c r="Q115" s="644">
        <f t="shared" si="35"/>
        <v>236</v>
      </c>
      <c r="R115" s="645">
        <v>50</v>
      </c>
      <c r="S115" s="647">
        <v>186</v>
      </c>
      <c r="T115" s="327" t="s">
        <v>17</v>
      </c>
      <c r="U115" s="328"/>
      <c r="V115" s="328"/>
      <c r="W115" s="328"/>
      <c r="X115" s="328"/>
      <c r="Y115" s="328"/>
      <c r="Z115" s="328"/>
    </row>
    <row r="116" spans="1:26" s="327" customFormat="1" ht="29.25" customHeight="1">
      <c r="A116" s="660">
        <v>58</v>
      </c>
      <c r="B116" s="670" t="s">
        <v>410</v>
      </c>
      <c r="C116" s="644">
        <f t="shared" si="31"/>
        <v>13953</v>
      </c>
      <c r="D116" s="645">
        <v>3263</v>
      </c>
      <c r="E116" s="645">
        <v>10690</v>
      </c>
      <c r="F116" s="645">
        <v>781791</v>
      </c>
      <c r="G116" s="763">
        <f t="shared" si="32"/>
        <v>3851</v>
      </c>
      <c r="H116" s="645">
        <v>3598</v>
      </c>
      <c r="I116" s="646">
        <v>253</v>
      </c>
      <c r="J116" s="646">
        <v>26532</v>
      </c>
      <c r="K116" s="644">
        <f t="shared" si="33"/>
        <v>4964260</v>
      </c>
      <c r="L116" s="645">
        <v>1377117</v>
      </c>
      <c r="M116" s="645">
        <v>3587143</v>
      </c>
      <c r="N116" s="644">
        <f t="shared" si="34"/>
        <v>21883</v>
      </c>
      <c r="O116" s="645">
        <v>4841</v>
      </c>
      <c r="P116" s="645">
        <v>17042</v>
      </c>
      <c r="Q116" s="644">
        <f t="shared" si="35"/>
        <v>83310</v>
      </c>
      <c r="R116" s="645">
        <v>27517</v>
      </c>
      <c r="S116" s="647">
        <v>55793</v>
      </c>
      <c r="T116" s="327" t="s">
        <v>19</v>
      </c>
      <c r="U116" s="328"/>
      <c r="V116" s="328"/>
      <c r="W116" s="328"/>
      <c r="X116" s="328"/>
      <c r="Y116" s="328"/>
      <c r="Z116" s="328"/>
    </row>
    <row r="117" spans="1:26" s="327" customFormat="1" ht="29.25" customHeight="1">
      <c r="A117" s="660">
        <v>59</v>
      </c>
      <c r="B117" s="670" t="s">
        <v>411</v>
      </c>
      <c r="C117" s="644">
        <f t="shared" si="31"/>
        <v>6948</v>
      </c>
      <c r="D117" s="644">
        <f>(E117/4)*2</f>
        <v>2316</v>
      </c>
      <c r="E117" s="645">
        <v>4632</v>
      </c>
      <c r="F117" s="645">
        <v>170464</v>
      </c>
      <c r="G117" s="644">
        <f t="shared" si="32"/>
        <v>13.5</v>
      </c>
      <c r="H117" s="644">
        <f>(I117/4)*2</f>
        <v>4.5</v>
      </c>
      <c r="I117" s="646">
        <v>9</v>
      </c>
      <c r="J117" s="646">
        <v>104</v>
      </c>
      <c r="K117" s="644">
        <f t="shared" si="33"/>
        <v>720768</v>
      </c>
      <c r="L117" s="666">
        <v>701461</v>
      </c>
      <c r="M117" s="645">
        <v>19307</v>
      </c>
      <c r="N117" s="644">
        <f t="shared" si="34"/>
        <v>2103</v>
      </c>
      <c r="O117" s="644">
        <f>(P117/4)*2</f>
        <v>701</v>
      </c>
      <c r="P117" s="645">
        <v>1402</v>
      </c>
      <c r="Q117" s="331">
        <f t="shared" si="35"/>
        <v>603854</v>
      </c>
      <c r="R117" s="666">
        <v>600885</v>
      </c>
      <c r="S117" s="647">
        <v>2969</v>
      </c>
      <c r="T117" s="327" t="s">
        <v>14</v>
      </c>
      <c r="U117" s="328"/>
      <c r="V117" s="328"/>
      <c r="W117" s="328"/>
      <c r="X117" s="328"/>
      <c r="Y117" s="328"/>
      <c r="Z117" s="328"/>
    </row>
    <row r="118" spans="1:26" s="327" customFormat="1" ht="29.25" customHeight="1">
      <c r="A118" s="660">
        <v>60</v>
      </c>
      <c r="B118" s="670" t="s">
        <v>412</v>
      </c>
      <c r="C118" s="644">
        <f t="shared" si="31"/>
        <v>5002.5</v>
      </c>
      <c r="D118" s="644">
        <f>(E118/4)*2</f>
        <v>1667.5</v>
      </c>
      <c r="E118" s="645">
        <v>3335</v>
      </c>
      <c r="F118" s="645">
        <v>474280</v>
      </c>
      <c r="G118" s="644">
        <f t="shared" si="32"/>
        <v>105</v>
      </c>
      <c r="H118" s="644">
        <f>(I118/4)*2</f>
        <v>35</v>
      </c>
      <c r="I118" s="646">
        <v>70</v>
      </c>
      <c r="J118" s="646">
        <v>8331</v>
      </c>
      <c r="K118" s="644">
        <f t="shared" si="33"/>
        <v>199242</v>
      </c>
      <c r="L118" s="644">
        <f>(M118/4)*2</f>
        <v>66414</v>
      </c>
      <c r="M118" s="645">
        <v>132828</v>
      </c>
      <c r="N118" s="644">
        <f t="shared" si="34"/>
        <v>3045</v>
      </c>
      <c r="O118" s="644">
        <f>(P118/4)*2</f>
        <v>1015</v>
      </c>
      <c r="P118" s="645">
        <v>2030</v>
      </c>
      <c r="Q118" s="644">
        <f t="shared" si="35"/>
        <v>8085</v>
      </c>
      <c r="R118" s="644">
        <f>(S118/4)*2</f>
        <v>2695</v>
      </c>
      <c r="S118" s="647">
        <v>5390</v>
      </c>
      <c r="U118" s="328"/>
      <c r="V118" s="328"/>
      <c r="W118" s="328"/>
      <c r="X118" s="328"/>
      <c r="Y118" s="328"/>
      <c r="Z118" s="328"/>
    </row>
    <row r="119" spans="1:26" s="327" customFormat="1" ht="29.25" customHeight="1">
      <c r="A119" s="660">
        <v>61</v>
      </c>
      <c r="B119" s="670" t="s">
        <v>413</v>
      </c>
      <c r="C119" s="644">
        <f t="shared" si="31"/>
        <v>4515</v>
      </c>
      <c r="D119" s="649">
        <f>(E119/4)*2</f>
        <v>1505</v>
      </c>
      <c r="E119" s="645">
        <v>3010</v>
      </c>
      <c r="F119" s="645">
        <v>86778</v>
      </c>
      <c r="G119" s="644">
        <f t="shared" si="32"/>
        <v>16.5</v>
      </c>
      <c r="H119" s="649">
        <f>(I119/4)*2</f>
        <v>5.5</v>
      </c>
      <c r="I119" s="646">
        <v>11</v>
      </c>
      <c r="J119" s="646">
        <v>474</v>
      </c>
      <c r="K119" s="644">
        <f t="shared" si="33"/>
        <v>101389.5</v>
      </c>
      <c r="L119" s="649">
        <f>(M119/4)*2</f>
        <v>33796.5</v>
      </c>
      <c r="M119" s="662">
        <v>67593</v>
      </c>
      <c r="N119" s="644">
        <f t="shared" si="34"/>
        <v>5478</v>
      </c>
      <c r="O119" s="649">
        <f>(P119/4)*2</f>
        <v>1826</v>
      </c>
      <c r="P119" s="645">
        <v>3652</v>
      </c>
      <c r="Q119" s="644">
        <f t="shared" si="35"/>
        <v>129</v>
      </c>
      <c r="R119" s="649">
        <f>(S119/4)*2</f>
        <v>43</v>
      </c>
      <c r="S119" s="647">
        <v>86</v>
      </c>
      <c r="T119" s="327" t="s">
        <v>99</v>
      </c>
      <c r="U119" s="328"/>
      <c r="V119" s="328"/>
      <c r="W119" s="328"/>
      <c r="X119" s="328"/>
      <c r="Y119" s="328"/>
      <c r="Z119" s="328"/>
    </row>
    <row r="120" spans="1:26" s="327" customFormat="1" ht="29.25" customHeight="1">
      <c r="A120" s="660">
        <v>62</v>
      </c>
      <c r="B120" s="670" t="s">
        <v>414</v>
      </c>
      <c r="C120" s="644">
        <f t="shared" si="31"/>
        <v>2833</v>
      </c>
      <c r="D120" s="644">
        <v>944</v>
      </c>
      <c r="E120" s="645">
        <v>1889</v>
      </c>
      <c r="F120" s="645">
        <v>92722</v>
      </c>
      <c r="G120" s="644">
        <f t="shared" si="32"/>
        <v>10</v>
      </c>
      <c r="H120" s="644">
        <v>3</v>
      </c>
      <c r="I120" s="646">
        <v>7</v>
      </c>
      <c r="J120" s="646">
        <v>11284</v>
      </c>
      <c r="K120" s="644">
        <f t="shared" si="33"/>
        <v>44985</v>
      </c>
      <c r="L120" s="644">
        <f>(M120/4)*2</f>
        <v>14995</v>
      </c>
      <c r="M120" s="645">
        <v>29990</v>
      </c>
      <c r="N120" s="644">
        <f t="shared" si="34"/>
        <v>10248</v>
      </c>
      <c r="O120" s="644">
        <f>(P120/4)*2</f>
        <v>3416</v>
      </c>
      <c r="P120" s="645">
        <v>6832</v>
      </c>
      <c r="Q120" s="644">
        <f t="shared" si="35"/>
        <v>1506</v>
      </c>
      <c r="R120" s="645">
        <v>502</v>
      </c>
      <c r="S120" s="647">
        <v>1004</v>
      </c>
      <c r="U120" s="328"/>
      <c r="V120" s="328"/>
      <c r="W120" s="328"/>
      <c r="X120" s="328"/>
      <c r="Y120" s="328"/>
      <c r="Z120" s="328"/>
    </row>
    <row r="121" spans="1:26" s="327" customFormat="1" ht="23.25" customHeight="1">
      <c r="A121" s="660">
        <v>63</v>
      </c>
      <c r="B121" s="671" t="s">
        <v>415</v>
      </c>
      <c r="C121" s="644">
        <f t="shared" si="31"/>
        <v>2856</v>
      </c>
      <c r="D121" s="645">
        <v>800</v>
      </c>
      <c r="E121" s="645">
        <v>2056</v>
      </c>
      <c r="F121" s="645">
        <v>153713</v>
      </c>
      <c r="G121" s="644">
        <f t="shared" si="32"/>
        <v>10</v>
      </c>
      <c r="H121" s="645">
        <v>0</v>
      </c>
      <c r="I121" s="646">
        <v>10</v>
      </c>
      <c r="J121" s="646">
        <v>2216</v>
      </c>
      <c r="K121" s="644">
        <f t="shared" si="33"/>
        <v>41148</v>
      </c>
      <c r="L121" s="645">
        <v>10000</v>
      </c>
      <c r="M121" s="645">
        <v>31148</v>
      </c>
      <c r="N121" s="644">
        <f t="shared" si="34"/>
        <v>2826</v>
      </c>
      <c r="O121" s="644">
        <f>(P121/4)*2</f>
        <v>942</v>
      </c>
      <c r="P121" s="645">
        <v>1884</v>
      </c>
      <c r="Q121" s="644">
        <f t="shared" si="35"/>
        <v>440</v>
      </c>
      <c r="R121" s="645">
        <v>145</v>
      </c>
      <c r="S121" s="645">
        <v>295</v>
      </c>
      <c r="U121" s="328"/>
      <c r="V121" s="328"/>
      <c r="W121" s="328"/>
      <c r="X121" s="328"/>
      <c r="Y121" s="328"/>
      <c r="Z121" s="328"/>
    </row>
    <row r="122" spans="18:216" s="345" customFormat="1" ht="15">
      <c r="R122" s="18"/>
      <c r="S122" s="18"/>
      <c r="T122" s="195"/>
      <c r="U122" s="195"/>
      <c r="V122" s="346"/>
      <c r="W122" s="346"/>
      <c r="X122" s="346"/>
      <c r="Y122" s="346"/>
      <c r="Z122" s="346"/>
      <c r="AA122" s="195"/>
      <c r="AB122" s="195"/>
      <c r="AC122" s="195"/>
      <c r="AD122" s="195"/>
      <c r="AE122" s="195"/>
      <c r="AF122" s="195"/>
      <c r="AG122" s="195"/>
      <c r="AH122" s="195"/>
      <c r="AI122" s="195"/>
      <c r="AJ122" s="195"/>
      <c r="AK122" s="195"/>
      <c r="AL122" s="195"/>
      <c r="AM122" s="195"/>
      <c r="AN122" s="195"/>
      <c r="AO122" s="195"/>
      <c r="AP122" s="195"/>
      <c r="AQ122" s="195"/>
      <c r="AR122" s="195"/>
      <c r="AS122" s="195"/>
      <c r="AT122" s="195"/>
      <c r="AU122" s="195"/>
      <c r="AV122" s="195"/>
      <c r="AW122" s="195"/>
      <c r="AX122" s="195"/>
      <c r="AY122" s="195"/>
      <c r="AZ122" s="195"/>
      <c r="BA122" s="195"/>
      <c r="BB122" s="195"/>
      <c r="BC122" s="195"/>
      <c r="BD122" s="195"/>
      <c r="BE122" s="195"/>
      <c r="BF122" s="195"/>
      <c r="BG122" s="195"/>
      <c r="BH122" s="195"/>
      <c r="BI122" s="195"/>
      <c r="BJ122" s="195"/>
      <c r="BK122" s="195"/>
      <c r="BL122" s="195"/>
      <c r="BM122" s="195"/>
      <c r="BN122" s="195"/>
      <c r="BO122" s="195"/>
      <c r="BP122" s="195"/>
      <c r="BQ122" s="195"/>
      <c r="BR122" s="195"/>
      <c r="BS122" s="195"/>
      <c r="BT122" s="195"/>
      <c r="BU122" s="195"/>
      <c r="BV122" s="195"/>
      <c r="BW122" s="195"/>
      <c r="BX122" s="195"/>
      <c r="BY122" s="195"/>
      <c r="BZ122" s="195"/>
      <c r="CA122" s="195"/>
      <c r="CB122" s="195"/>
      <c r="CC122" s="195"/>
      <c r="CD122" s="195"/>
      <c r="CE122" s="195"/>
      <c r="CF122" s="195"/>
      <c r="CG122" s="195"/>
      <c r="CH122" s="195"/>
      <c r="CI122" s="195"/>
      <c r="CJ122" s="195"/>
      <c r="CK122" s="195"/>
      <c r="CL122" s="195"/>
      <c r="CM122" s="195"/>
      <c r="CN122" s="195"/>
      <c r="CO122" s="195"/>
      <c r="CP122" s="195"/>
      <c r="CQ122" s="195"/>
      <c r="CR122" s="195"/>
      <c r="CS122" s="195"/>
      <c r="CT122" s="195"/>
      <c r="CU122" s="195"/>
      <c r="CV122" s="195"/>
      <c r="CW122" s="195"/>
      <c r="CX122" s="195"/>
      <c r="CY122" s="195"/>
      <c r="CZ122" s="195"/>
      <c r="DA122" s="195"/>
      <c r="DB122" s="195"/>
      <c r="DC122" s="195"/>
      <c r="DD122" s="195"/>
      <c r="DE122" s="195"/>
      <c r="DF122" s="195"/>
      <c r="DG122" s="195"/>
      <c r="DH122" s="195"/>
      <c r="DI122" s="195"/>
      <c r="DJ122" s="195"/>
      <c r="DK122" s="195"/>
      <c r="DL122" s="195"/>
      <c r="DM122" s="195"/>
      <c r="DN122" s="195"/>
      <c r="DO122" s="195"/>
      <c r="DP122" s="195"/>
      <c r="DQ122" s="195"/>
      <c r="DR122" s="195"/>
      <c r="DS122" s="195"/>
      <c r="DT122" s="195"/>
      <c r="DU122" s="195"/>
      <c r="DV122" s="195"/>
      <c r="DW122" s="195"/>
      <c r="DX122" s="195"/>
      <c r="DY122" s="195"/>
      <c r="DZ122" s="195"/>
      <c r="EA122" s="195"/>
      <c r="EB122" s="195"/>
      <c r="EC122" s="195"/>
      <c r="ED122" s="195"/>
      <c r="EE122" s="195"/>
      <c r="EF122" s="195"/>
      <c r="EG122" s="195"/>
      <c r="EH122" s="195"/>
      <c r="EI122" s="195"/>
      <c r="EJ122" s="195"/>
      <c r="EK122" s="195"/>
      <c r="EL122" s="195"/>
      <c r="EM122" s="195"/>
      <c r="EN122" s="195"/>
      <c r="EO122" s="195"/>
      <c r="EP122" s="195"/>
      <c r="EQ122" s="195"/>
      <c r="ER122" s="195"/>
      <c r="ES122" s="195"/>
      <c r="ET122" s="195"/>
      <c r="EU122" s="195"/>
      <c r="EV122" s="195"/>
      <c r="EW122" s="195"/>
      <c r="EX122" s="195"/>
      <c r="EY122" s="195"/>
      <c r="EZ122" s="195"/>
      <c r="FA122" s="195"/>
      <c r="FB122" s="195"/>
      <c r="FC122" s="195"/>
      <c r="FD122" s="195"/>
      <c r="FE122" s="195"/>
      <c r="FF122" s="195"/>
      <c r="FG122" s="195"/>
      <c r="FH122" s="195"/>
      <c r="FI122" s="195"/>
      <c r="FJ122" s="195"/>
      <c r="FK122" s="195"/>
      <c r="FL122" s="195"/>
      <c r="FM122" s="195"/>
      <c r="FN122" s="195"/>
      <c r="FO122" s="195"/>
      <c r="FP122" s="195"/>
      <c r="FQ122" s="195"/>
      <c r="FR122" s="195"/>
      <c r="FS122" s="195"/>
      <c r="FT122" s="195"/>
      <c r="FU122" s="195"/>
      <c r="FV122" s="195"/>
      <c r="FW122" s="195"/>
      <c r="FX122" s="195"/>
      <c r="FY122" s="195"/>
      <c r="FZ122" s="195"/>
      <c r="GA122" s="195"/>
      <c r="GB122" s="195"/>
      <c r="GC122" s="195"/>
      <c r="GD122" s="195"/>
      <c r="GE122" s="195"/>
      <c r="GF122" s="195"/>
      <c r="GG122" s="195"/>
      <c r="GH122" s="195"/>
      <c r="GI122" s="195"/>
      <c r="GJ122" s="195"/>
      <c r="GK122" s="195"/>
      <c r="GL122" s="195"/>
      <c r="GM122" s="195"/>
      <c r="GN122" s="195"/>
      <c r="GO122" s="195"/>
      <c r="GP122" s="195"/>
      <c r="GQ122" s="195"/>
      <c r="GR122" s="195"/>
      <c r="GS122" s="195"/>
      <c r="GT122" s="195"/>
      <c r="GU122" s="195"/>
      <c r="GV122" s="195"/>
      <c r="GW122" s="195"/>
      <c r="GX122" s="195"/>
      <c r="GY122" s="195"/>
      <c r="GZ122" s="195"/>
      <c r="HA122" s="195"/>
      <c r="HB122" s="195"/>
      <c r="HC122" s="195"/>
      <c r="HD122" s="195"/>
      <c r="HE122" s="195"/>
      <c r="HF122" s="195"/>
      <c r="HG122" s="195"/>
      <c r="HH122" s="195"/>
    </row>
    <row r="123" spans="18:216" s="345" customFormat="1" ht="15">
      <c r="R123" s="18"/>
      <c r="S123" s="18"/>
      <c r="T123" s="195"/>
      <c r="U123" s="195"/>
      <c r="V123" s="346"/>
      <c r="W123" s="346"/>
      <c r="X123" s="346"/>
      <c r="Y123" s="346"/>
      <c r="Z123" s="346"/>
      <c r="AA123" s="195"/>
      <c r="AB123" s="195"/>
      <c r="AC123" s="195"/>
      <c r="AD123" s="195"/>
      <c r="AE123" s="195"/>
      <c r="AF123" s="195"/>
      <c r="AG123" s="195"/>
      <c r="AH123" s="195"/>
      <c r="AI123" s="195"/>
      <c r="AJ123" s="195"/>
      <c r="AK123" s="195"/>
      <c r="AL123" s="195"/>
      <c r="AM123" s="195"/>
      <c r="AN123" s="195"/>
      <c r="AO123" s="195"/>
      <c r="AP123" s="195"/>
      <c r="AQ123" s="195"/>
      <c r="AR123" s="195"/>
      <c r="AS123" s="195"/>
      <c r="AT123" s="195"/>
      <c r="AU123" s="195"/>
      <c r="AV123" s="195"/>
      <c r="AW123" s="195"/>
      <c r="AX123" s="195"/>
      <c r="AY123" s="195"/>
      <c r="AZ123" s="195"/>
      <c r="BA123" s="195"/>
      <c r="BB123" s="195"/>
      <c r="BC123" s="195"/>
      <c r="BD123" s="195"/>
      <c r="BE123" s="195"/>
      <c r="BF123" s="195"/>
      <c r="BG123" s="195"/>
      <c r="BH123" s="195"/>
      <c r="BI123" s="195"/>
      <c r="BJ123" s="195"/>
      <c r="BK123" s="195"/>
      <c r="BL123" s="195"/>
      <c r="BM123" s="195"/>
      <c r="BN123" s="195"/>
      <c r="BO123" s="195"/>
      <c r="BP123" s="195"/>
      <c r="BQ123" s="195"/>
      <c r="BR123" s="195"/>
      <c r="BS123" s="195"/>
      <c r="BT123" s="195"/>
      <c r="BU123" s="195"/>
      <c r="BV123" s="195"/>
      <c r="BW123" s="195"/>
      <c r="BX123" s="195"/>
      <c r="BY123" s="195"/>
      <c r="BZ123" s="195"/>
      <c r="CA123" s="195"/>
      <c r="CB123" s="195"/>
      <c r="CC123" s="195"/>
      <c r="CD123" s="195"/>
      <c r="CE123" s="195"/>
      <c r="CF123" s="195"/>
      <c r="CG123" s="195"/>
      <c r="CH123" s="195"/>
      <c r="CI123" s="195"/>
      <c r="CJ123" s="195"/>
      <c r="CK123" s="195"/>
      <c r="CL123" s="195"/>
      <c r="CM123" s="195"/>
      <c r="CN123" s="195"/>
      <c r="CO123" s="195"/>
      <c r="CP123" s="195"/>
      <c r="CQ123" s="195"/>
      <c r="CR123" s="195"/>
      <c r="CS123" s="195"/>
      <c r="CT123" s="195"/>
      <c r="CU123" s="195"/>
      <c r="CV123" s="195"/>
      <c r="CW123" s="195"/>
      <c r="CX123" s="195"/>
      <c r="CY123" s="195"/>
      <c r="CZ123" s="195"/>
      <c r="DA123" s="195"/>
      <c r="DB123" s="195"/>
      <c r="DC123" s="195"/>
      <c r="DD123" s="195"/>
      <c r="DE123" s="195"/>
      <c r="DF123" s="195"/>
      <c r="DG123" s="195"/>
      <c r="DH123" s="195"/>
      <c r="DI123" s="195"/>
      <c r="DJ123" s="195"/>
      <c r="DK123" s="195"/>
      <c r="DL123" s="195"/>
      <c r="DM123" s="195"/>
      <c r="DN123" s="195"/>
      <c r="DO123" s="195"/>
      <c r="DP123" s="195"/>
      <c r="DQ123" s="195"/>
      <c r="DR123" s="195"/>
      <c r="DS123" s="195"/>
      <c r="DT123" s="195"/>
      <c r="DU123" s="195"/>
      <c r="DV123" s="195"/>
      <c r="DW123" s="195"/>
      <c r="DX123" s="195"/>
      <c r="DY123" s="195"/>
      <c r="DZ123" s="195"/>
      <c r="EA123" s="195"/>
      <c r="EB123" s="195"/>
      <c r="EC123" s="195"/>
      <c r="ED123" s="195"/>
      <c r="EE123" s="195"/>
      <c r="EF123" s="195"/>
      <c r="EG123" s="195"/>
      <c r="EH123" s="195"/>
      <c r="EI123" s="195"/>
      <c r="EJ123" s="195"/>
      <c r="EK123" s="195"/>
      <c r="EL123" s="195"/>
      <c r="EM123" s="195"/>
      <c r="EN123" s="195"/>
      <c r="EO123" s="195"/>
      <c r="EP123" s="195"/>
      <c r="EQ123" s="195"/>
      <c r="ER123" s="195"/>
      <c r="ES123" s="195"/>
      <c r="ET123" s="195"/>
      <c r="EU123" s="195"/>
      <c r="EV123" s="195"/>
      <c r="EW123" s="195"/>
      <c r="EX123" s="195"/>
      <c r="EY123" s="195"/>
      <c r="EZ123" s="195"/>
      <c r="FA123" s="195"/>
      <c r="FB123" s="195"/>
      <c r="FC123" s="195"/>
      <c r="FD123" s="195"/>
      <c r="FE123" s="195"/>
      <c r="FF123" s="195"/>
      <c r="FG123" s="195"/>
      <c r="FH123" s="195"/>
      <c r="FI123" s="195"/>
      <c r="FJ123" s="195"/>
      <c r="FK123" s="195"/>
      <c r="FL123" s="195"/>
      <c r="FM123" s="195"/>
      <c r="FN123" s="195"/>
      <c r="FO123" s="195"/>
      <c r="FP123" s="195"/>
      <c r="FQ123" s="195"/>
      <c r="FR123" s="195"/>
      <c r="FS123" s="195"/>
      <c r="FT123" s="195"/>
      <c r="FU123" s="195"/>
      <c r="FV123" s="195"/>
      <c r="FW123" s="195"/>
      <c r="FX123" s="195"/>
      <c r="FY123" s="195"/>
      <c r="FZ123" s="195"/>
      <c r="GA123" s="195"/>
      <c r="GB123" s="195"/>
      <c r="GC123" s="195"/>
      <c r="GD123" s="195"/>
      <c r="GE123" s="195"/>
      <c r="GF123" s="195"/>
      <c r="GG123" s="195"/>
      <c r="GH123" s="195"/>
      <c r="GI123" s="195"/>
      <c r="GJ123" s="195"/>
      <c r="GK123" s="195"/>
      <c r="GL123" s="195"/>
      <c r="GM123" s="195"/>
      <c r="GN123" s="195"/>
      <c r="GO123" s="195"/>
      <c r="GP123" s="195"/>
      <c r="GQ123" s="195"/>
      <c r="GR123" s="195"/>
      <c r="GS123" s="195"/>
      <c r="GT123" s="195"/>
      <c r="GU123" s="195"/>
      <c r="GV123" s="195"/>
      <c r="GW123" s="195"/>
      <c r="GX123" s="195"/>
      <c r="GY123" s="195"/>
      <c r="GZ123" s="195"/>
      <c r="HA123" s="195"/>
      <c r="HB123" s="195"/>
      <c r="HC123" s="195"/>
      <c r="HD123" s="195"/>
      <c r="HE123" s="195"/>
      <c r="HF123" s="195"/>
      <c r="HG123" s="195"/>
      <c r="HH123" s="195"/>
    </row>
    <row r="124" spans="18:216" s="345" customFormat="1" ht="15">
      <c r="R124" s="18"/>
      <c r="S124" s="18"/>
      <c r="T124" s="195"/>
      <c r="U124" s="195"/>
      <c r="V124" s="346"/>
      <c r="W124" s="346"/>
      <c r="X124" s="346"/>
      <c r="Y124" s="346"/>
      <c r="Z124" s="346"/>
      <c r="AA124" s="195"/>
      <c r="AB124" s="195"/>
      <c r="AC124" s="195"/>
      <c r="AD124" s="195"/>
      <c r="AE124" s="195"/>
      <c r="AF124" s="195"/>
      <c r="AG124" s="195"/>
      <c r="AH124" s="195"/>
      <c r="AI124" s="195"/>
      <c r="AJ124" s="195"/>
      <c r="AK124" s="195"/>
      <c r="AL124" s="195"/>
      <c r="AM124" s="195"/>
      <c r="AN124" s="195"/>
      <c r="AO124" s="195"/>
      <c r="AP124" s="195"/>
      <c r="AQ124" s="195"/>
      <c r="AR124" s="195"/>
      <c r="AS124" s="195"/>
      <c r="AT124" s="195"/>
      <c r="AU124" s="195"/>
      <c r="AV124" s="195"/>
      <c r="AW124" s="195"/>
      <c r="AX124" s="195"/>
      <c r="AY124" s="195"/>
      <c r="AZ124" s="195"/>
      <c r="BA124" s="195"/>
      <c r="BB124" s="195"/>
      <c r="BC124" s="195"/>
      <c r="BD124" s="195"/>
      <c r="BE124" s="195"/>
      <c r="BF124" s="195"/>
      <c r="BG124" s="195"/>
      <c r="BH124" s="195"/>
      <c r="BI124" s="195"/>
      <c r="BJ124" s="195"/>
      <c r="BK124" s="195"/>
      <c r="BL124" s="195"/>
      <c r="BM124" s="195"/>
      <c r="BN124" s="195"/>
      <c r="BO124" s="195"/>
      <c r="BP124" s="195"/>
      <c r="BQ124" s="195"/>
      <c r="BR124" s="195"/>
      <c r="BS124" s="195"/>
      <c r="BT124" s="195"/>
      <c r="BU124" s="195"/>
      <c r="BV124" s="195"/>
      <c r="BW124" s="195"/>
      <c r="BX124" s="195"/>
      <c r="BY124" s="195"/>
      <c r="BZ124" s="195"/>
      <c r="CA124" s="195"/>
      <c r="CB124" s="195"/>
      <c r="CC124" s="195"/>
      <c r="CD124" s="195"/>
      <c r="CE124" s="195"/>
      <c r="CF124" s="195"/>
      <c r="CG124" s="195"/>
      <c r="CH124" s="195"/>
      <c r="CI124" s="195"/>
      <c r="CJ124" s="195"/>
      <c r="CK124" s="195"/>
      <c r="CL124" s="195"/>
      <c r="CM124" s="195"/>
      <c r="CN124" s="195"/>
      <c r="CO124" s="195"/>
      <c r="CP124" s="195"/>
      <c r="CQ124" s="195"/>
      <c r="CR124" s="195"/>
      <c r="CS124" s="195"/>
      <c r="CT124" s="195"/>
      <c r="CU124" s="195"/>
      <c r="CV124" s="195"/>
      <c r="CW124" s="195"/>
      <c r="CX124" s="195"/>
      <c r="CY124" s="195"/>
      <c r="CZ124" s="195"/>
      <c r="DA124" s="195"/>
      <c r="DB124" s="195"/>
      <c r="DC124" s="195"/>
      <c r="DD124" s="195"/>
      <c r="DE124" s="195"/>
      <c r="DF124" s="195"/>
      <c r="DG124" s="195"/>
      <c r="DH124" s="195"/>
      <c r="DI124" s="195"/>
      <c r="DJ124" s="195"/>
      <c r="DK124" s="195"/>
      <c r="DL124" s="195"/>
      <c r="DM124" s="195"/>
      <c r="DN124" s="195"/>
      <c r="DO124" s="195"/>
      <c r="DP124" s="195"/>
      <c r="DQ124" s="195"/>
      <c r="DR124" s="195"/>
      <c r="DS124" s="195"/>
      <c r="DT124" s="195"/>
      <c r="DU124" s="195"/>
      <c r="DV124" s="195"/>
      <c r="DW124" s="195"/>
      <c r="DX124" s="195"/>
      <c r="DY124" s="195"/>
      <c r="DZ124" s="195"/>
      <c r="EA124" s="195"/>
      <c r="EB124" s="195"/>
      <c r="EC124" s="195"/>
      <c r="ED124" s="195"/>
      <c r="EE124" s="195"/>
      <c r="EF124" s="195"/>
      <c r="EG124" s="195"/>
      <c r="EH124" s="195"/>
      <c r="EI124" s="195"/>
      <c r="EJ124" s="195"/>
      <c r="EK124" s="195"/>
      <c r="EL124" s="195"/>
      <c r="EM124" s="195"/>
      <c r="EN124" s="195"/>
      <c r="EO124" s="195"/>
      <c r="EP124" s="195"/>
      <c r="EQ124" s="195"/>
      <c r="ER124" s="195"/>
      <c r="ES124" s="195"/>
      <c r="ET124" s="195"/>
      <c r="EU124" s="195"/>
      <c r="EV124" s="195"/>
      <c r="EW124" s="195"/>
      <c r="EX124" s="195"/>
      <c r="EY124" s="195"/>
      <c r="EZ124" s="195"/>
      <c r="FA124" s="195"/>
      <c r="FB124" s="195"/>
      <c r="FC124" s="195"/>
      <c r="FD124" s="195"/>
      <c r="FE124" s="195"/>
      <c r="FF124" s="195"/>
      <c r="FG124" s="195"/>
      <c r="FH124" s="195"/>
      <c r="FI124" s="195"/>
      <c r="FJ124" s="195"/>
      <c r="FK124" s="195"/>
      <c r="FL124" s="195"/>
      <c r="FM124" s="195"/>
      <c r="FN124" s="195"/>
      <c r="FO124" s="195"/>
      <c r="FP124" s="195"/>
      <c r="FQ124" s="195"/>
      <c r="FR124" s="195"/>
      <c r="FS124" s="195"/>
      <c r="FT124" s="195"/>
      <c r="FU124" s="195"/>
      <c r="FV124" s="195"/>
      <c r="FW124" s="195"/>
      <c r="FX124" s="195"/>
      <c r="FY124" s="195"/>
      <c r="FZ124" s="195"/>
      <c r="GA124" s="195"/>
      <c r="GB124" s="195"/>
      <c r="GC124" s="195"/>
      <c r="GD124" s="195"/>
      <c r="GE124" s="195"/>
      <c r="GF124" s="195"/>
      <c r="GG124" s="195"/>
      <c r="GH124" s="195"/>
      <c r="GI124" s="195"/>
      <c r="GJ124" s="195"/>
      <c r="GK124" s="195"/>
      <c r="GL124" s="195"/>
      <c r="GM124" s="195"/>
      <c r="GN124" s="195"/>
      <c r="GO124" s="195"/>
      <c r="GP124" s="195"/>
      <c r="GQ124" s="195"/>
      <c r="GR124" s="195"/>
      <c r="GS124" s="195"/>
      <c r="GT124" s="195"/>
      <c r="GU124" s="195"/>
      <c r="GV124" s="195"/>
      <c r="GW124" s="195"/>
      <c r="GX124" s="195"/>
      <c r="GY124" s="195"/>
      <c r="GZ124" s="195"/>
      <c r="HA124" s="195"/>
      <c r="HB124" s="195"/>
      <c r="HC124" s="195"/>
      <c r="HD124" s="195"/>
      <c r="HE124" s="195"/>
      <c r="HF124" s="195"/>
      <c r="HG124" s="195"/>
      <c r="HH124" s="195"/>
    </row>
    <row r="125" spans="18:19" ht="12.75">
      <c r="R125" s="247"/>
      <c r="S125" s="247"/>
    </row>
    <row r="126" spans="1:12" s="89" customFormat="1" ht="18" customHeight="1">
      <c r="A126" s="50"/>
      <c r="B126" s="50" t="s">
        <v>342</v>
      </c>
      <c r="C126" s="56" t="s">
        <v>494</v>
      </c>
      <c r="D126" s="56"/>
      <c r="E126" s="56"/>
      <c r="F126" s="56"/>
      <c r="G126" s="50"/>
      <c r="H126" s="50"/>
      <c r="I126" s="50"/>
      <c r="J126" s="50"/>
      <c r="K126" s="88"/>
      <c r="L126" s="88"/>
    </row>
    <row r="127" spans="1:10" s="87" customFormat="1" ht="18" customHeight="1">
      <c r="A127" s="50"/>
      <c r="B127" s="50" t="s">
        <v>343</v>
      </c>
      <c r="C127" s="50" t="s">
        <v>344</v>
      </c>
      <c r="E127" s="50"/>
      <c r="F127" s="50"/>
      <c r="G127" s="50"/>
      <c r="H127" s="50"/>
      <c r="I127" s="50"/>
      <c r="J127" s="50"/>
    </row>
    <row r="128" spans="1:10" s="87" customFormat="1" ht="18" customHeight="1">
      <c r="A128" s="50"/>
      <c r="B128" s="50" t="s">
        <v>345</v>
      </c>
      <c r="C128" s="50" t="s">
        <v>346</v>
      </c>
      <c r="E128" s="50"/>
      <c r="F128" s="50"/>
      <c r="G128" s="50"/>
      <c r="H128" s="50"/>
      <c r="I128" s="50"/>
      <c r="J128" s="50"/>
    </row>
    <row r="129" spans="1:20" s="22" customFormat="1" ht="15.75">
      <c r="A129"/>
      <c r="B129" s="142"/>
      <c r="C129" s="120" t="s">
        <v>493</v>
      </c>
      <c r="D129" s="13"/>
      <c r="E129"/>
      <c r="F129"/>
      <c r="G129"/>
      <c r="H129"/>
      <c r="I129"/>
      <c r="J129"/>
      <c r="K129"/>
      <c r="L129"/>
      <c r="M129"/>
      <c r="N129"/>
      <c r="O129"/>
      <c r="P129"/>
      <c r="Q129"/>
      <c r="R129"/>
      <c r="S129"/>
      <c r="T129" s="13"/>
    </row>
    <row r="130" spans="1:20" s="22" customFormat="1" ht="15.75">
      <c r="A130"/>
      <c r="B130" s="90"/>
      <c r="C130" s="50" t="s">
        <v>430</v>
      </c>
      <c r="D130" s="13"/>
      <c r="E130"/>
      <c r="F130"/>
      <c r="G130"/>
      <c r="H130"/>
      <c r="I130"/>
      <c r="J130"/>
      <c r="K130"/>
      <c r="L130"/>
      <c r="M130"/>
      <c r="N130"/>
      <c r="O130"/>
      <c r="P130"/>
      <c r="Q130"/>
      <c r="R130"/>
      <c r="S130"/>
      <c r="T130" s="13"/>
    </row>
    <row r="131" spans="1:20" s="22" customFormat="1" ht="15.75">
      <c r="A131"/>
      <c r="B131" s="91"/>
      <c r="C131" s="50" t="s">
        <v>429</v>
      </c>
      <c r="D131" s="13"/>
      <c r="E131"/>
      <c r="F131"/>
      <c r="G131"/>
      <c r="H131"/>
      <c r="I131"/>
      <c r="J131"/>
      <c r="K131"/>
      <c r="L131"/>
      <c r="M131"/>
      <c r="N131"/>
      <c r="O131"/>
      <c r="P131"/>
      <c r="Q131"/>
      <c r="R131"/>
      <c r="S131"/>
      <c r="T131" s="13"/>
    </row>
    <row r="132" spans="1:20" s="38" customFormat="1" ht="15.75">
      <c r="A132"/>
      <c r="B132" s="143"/>
      <c r="C132" s="86" t="s">
        <v>495</v>
      </c>
      <c r="D132" s="13"/>
      <c r="E132"/>
      <c r="F132"/>
      <c r="G132"/>
      <c r="H132"/>
      <c r="I132"/>
      <c r="J132"/>
      <c r="K132"/>
      <c r="L132"/>
      <c r="M132"/>
      <c r="N132"/>
      <c r="O132"/>
      <c r="P132"/>
      <c r="Q132"/>
      <c r="R132"/>
      <c r="S132"/>
      <c r="T132" s="13"/>
    </row>
    <row r="133" spans="1:24" s="17" customFormat="1" ht="15.75">
      <c r="A133" s="24"/>
      <c r="B133" s="25"/>
      <c r="C133" s="41"/>
      <c r="D133" s="41"/>
      <c r="E133" s="392"/>
      <c r="F133" s="392"/>
      <c r="G133" s="392"/>
      <c r="H133" s="392"/>
      <c r="I133" s="392"/>
      <c r="J133" s="392"/>
      <c r="K133" s="392"/>
      <c r="L133" s="392"/>
      <c r="M133" s="392"/>
      <c r="N133" s="392"/>
      <c r="O133" s="392"/>
      <c r="P133" s="392"/>
      <c r="Q133" s="392"/>
      <c r="R133" s="392"/>
      <c r="S133" s="254"/>
      <c r="T133" s="254"/>
      <c r="U133" s="254"/>
      <c r="V133" s="254"/>
      <c r="W133" s="254"/>
      <c r="X133" s="254"/>
    </row>
    <row r="134" spans="1:24" s="17" customFormat="1" ht="15.75">
      <c r="A134" s="24"/>
      <c r="B134" s="50" t="s">
        <v>223</v>
      </c>
      <c r="C134" s="41"/>
      <c r="D134" s="41"/>
      <c r="E134" s="392"/>
      <c r="F134" s="392"/>
      <c r="G134" s="392"/>
      <c r="H134" s="392"/>
      <c r="I134" s="392"/>
      <c r="J134" s="392"/>
      <c r="K134" s="392"/>
      <c r="L134" s="392"/>
      <c r="M134" s="392"/>
      <c r="N134" s="392"/>
      <c r="O134" s="392"/>
      <c r="P134" s="392"/>
      <c r="Q134" s="392"/>
      <c r="R134" s="392"/>
      <c r="S134" s="254"/>
      <c r="T134" s="254"/>
      <c r="U134" s="254"/>
      <c r="V134" s="254"/>
      <c r="W134" s="254"/>
      <c r="X134" s="254"/>
    </row>
    <row r="135" spans="1:24" s="17" customFormat="1" ht="15.75">
      <c r="A135" s="24"/>
      <c r="B135" s="25"/>
      <c r="C135" s="41"/>
      <c r="D135" s="41"/>
      <c r="E135" s="392"/>
      <c r="F135" s="392"/>
      <c r="G135" s="392"/>
      <c r="H135" s="392"/>
      <c r="I135" s="392"/>
      <c r="J135" s="392"/>
      <c r="K135" s="392"/>
      <c r="L135" s="392"/>
      <c r="M135" s="392"/>
      <c r="N135" s="392"/>
      <c r="O135" s="392"/>
      <c r="P135" s="392"/>
      <c r="Q135" s="392"/>
      <c r="R135" s="392"/>
      <c r="S135" s="254"/>
      <c r="T135" s="254"/>
      <c r="U135" s="254"/>
      <c r="V135" s="254"/>
      <c r="W135" s="254"/>
      <c r="X135" s="254"/>
    </row>
    <row r="136" spans="1:24" s="17" customFormat="1" ht="15.75">
      <c r="A136" s="24"/>
      <c r="B136" s="25"/>
      <c r="C136" s="41"/>
      <c r="D136" s="41"/>
      <c r="E136" s="392"/>
      <c r="F136" s="392"/>
      <c r="G136" s="392"/>
      <c r="H136" s="392"/>
      <c r="I136" s="392"/>
      <c r="J136" s="392"/>
      <c r="K136" s="392"/>
      <c r="L136" s="392"/>
      <c r="M136" s="392"/>
      <c r="N136" s="392"/>
      <c r="O136" s="392"/>
      <c r="P136" s="392"/>
      <c r="Q136" s="392"/>
      <c r="R136" s="392"/>
      <c r="S136" s="254"/>
      <c r="T136" s="254"/>
      <c r="U136" s="254"/>
      <c r="V136" s="254"/>
      <c r="W136" s="254"/>
      <c r="X136" s="254"/>
    </row>
    <row r="137" spans="18:19" ht="12.75">
      <c r="R137" s="347"/>
      <c r="S137" s="321"/>
    </row>
    <row r="138" spans="18:19" ht="12.75">
      <c r="R138" s="347"/>
      <c r="S138" s="321"/>
    </row>
  </sheetData>
  <sheetProtection/>
  <mergeCells count="36">
    <mergeCell ref="A58:B58"/>
    <mergeCell ref="S8:S10"/>
    <mergeCell ref="C9:C10"/>
    <mergeCell ref="D9:E9"/>
    <mergeCell ref="G9:G10"/>
    <mergeCell ref="H9:I9"/>
    <mergeCell ref="A11:B11"/>
    <mergeCell ref="M8:M10"/>
    <mergeCell ref="O8:O10"/>
    <mergeCell ref="P8:P10"/>
    <mergeCell ref="A36:B36"/>
    <mergeCell ref="A3:S3"/>
    <mergeCell ref="G7:J7"/>
    <mergeCell ref="K7:K10"/>
    <mergeCell ref="L7:M7"/>
    <mergeCell ref="N7:N10"/>
    <mergeCell ref="O7:P7"/>
    <mergeCell ref="Q7:Q10"/>
    <mergeCell ref="Q6:S6"/>
    <mergeCell ref="C7:F7"/>
    <mergeCell ref="A2:S2"/>
    <mergeCell ref="A6:B10"/>
    <mergeCell ref="R7:S7"/>
    <mergeCell ref="C8:E8"/>
    <mergeCell ref="F8:F10"/>
    <mergeCell ref="R8:R10"/>
    <mergeCell ref="A35:B35"/>
    <mergeCell ref="L8:L10"/>
    <mergeCell ref="A4:S4"/>
    <mergeCell ref="C6:J6"/>
    <mergeCell ref="K6:M6"/>
    <mergeCell ref="N6:P6"/>
    <mergeCell ref="G8:I8"/>
    <mergeCell ref="J8:J10"/>
    <mergeCell ref="A12:B12"/>
    <mergeCell ref="A13:B13"/>
  </mergeCells>
  <printOptions/>
  <pageMargins left="0.5" right="0.25" top="0.5" bottom="0.5" header="0.3" footer="0.3"/>
  <pageSetup horizontalDpi="600" verticalDpi="600" orientation="landscape" paperSize="8" scale="85" r:id="rId2"/>
  <drawing r:id="rId1"/>
</worksheet>
</file>

<file path=xl/worksheets/sheet8.xml><?xml version="1.0" encoding="utf-8"?>
<worksheet xmlns="http://schemas.openxmlformats.org/spreadsheetml/2006/main" xmlns:r="http://schemas.openxmlformats.org/officeDocument/2006/relationships">
  <sheetPr>
    <tabColor theme="1" tint="0.15000000596046448"/>
  </sheetPr>
  <dimension ref="A1:HB87"/>
  <sheetViews>
    <sheetView zoomScalePageLayoutView="0" workbookViewId="0" topLeftCell="A70">
      <selection activeCell="I89" sqref="I89"/>
    </sheetView>
  </sheetViews>
  <sheetFormatPr defaultColWidth="9.140625" defaultRowHeight="12.75"/>
  <cols>
    <col min="1" max="1" width="7.421875" style="321" customWidth="1"/>
    <col min="2" max="2" width="18.8515625" style="321" customWidth="1"/>
    <col min="3" max="3" width="10.28125" style="321" customWidth="1"/>
    <col min="4" max="4" width="13.00390625" style="321" customWidth="1"/>
    <col min="5" max="5" width="12.00390625" style="321" customWidth="1"/>
    <col min="6" max="6" width="10.00390625" style="321" customWidth="1"/>
    <col min="7" max="7" width="12.140625" style="321" customWidth="1"/>
    <col min="8" max="8" width="12.8515625" style="321" customWidth="1"/>
    <col min="9" max="9" width="14.28125" style="321" customWidth="1"/>
    <col min="10" max="10" width="14.8515625" style="321" customWidth="1"/>
    <col min="11" max="11" width="15.57421875" style="321" customWidth="1"/>
    <col min="12" max="12" width="9.140625" style="321" customWidth="1"/>
    <col min="13" max="16" width="9.140625" style="322" customWidth="1"/>
    <col min="17" max="16384" width="9.140625" style="321" customWidth="1"/>
  </cols>
  <sheetData>
    <row r="1" spans="1:11" ht="24" customHeight="1">
      <c r="A1" s="215" t="s">
        <v>318</v>
      </c>
      <c r="B1" s="215"/>
      <c r="C1" s="215"/>
      <c r="D1" s="215"/>
      <c r="E1" s="215"/>
      <c r="F1" s="256"/>
      <c r="G1" s="256"/>
      <c r="H1" s="256"/>
      <c r="I1" s="256"/>
      <c r="J1" s="256"/>
      <c r="K1" s="256"/>
    </row>
    <row r="2" spans="1:11" ht="24.75" customHeight="1">
      <c r="A2" s="920" t="s">
        <v>28</v>
      </c>
      <c r="B2" s="920"/>
      <c r="C2" s="920"/>
      <c r="D2" s="920"/>
      <c r="E2" s="920"/>
      <c r="F2" s="920"/>
      <c r="G2" s="920"/>
      <c r="H2" s="920"/>
      <c r="I2" s="920"/>
      <c r="J2" s="920"/>
      <c r="K2" s="920"/>
    </row>
    <row r="3" spans="1:16" s="323" customFormat="1" ht="24.75" customHeight="1">
      <c r="A3" s="920" t="s">
        <v>29</v>
      </c>
      <c r="B3" s="920"/>
      <c r="C3" s="920"/>
      <c r="D3" s="920"/>
      <c r="E3" s="920"/>
      <c r="F3" s="920"/>
      <c r="G3" s="920"/>
      <c r="H3" s="920"/>
      <c r="I3" s="920"/>
      <c r="J3" s="920"/>
      <c r="K3" s="920"/>
      <c r="M3" s="324"/>
      <c r="N3" s="324"/>
      <c r="O3" s="324"/>
      <c r="P3" s="324"/>
    </row>
    <row r="4" spans="1:16" s="325" customFormat="1" ht="23.25" customHeight="1">
      <c r="A4" s="920" t="s">
        <v>319</v>
      </c>
      <c r="B4" s="920"/>
      <c r="C4" s="920"/>
      <c r="D4" s="920"/>
      <c r="E4" s="920"/>
      <c r="F4" s="920"/>
      <c r="G4" s="920"/>
      <c r="H4" s="920"/>
      <c r="I4" s="920"/>
      <c r="J4" s="920"/>
      <c r="K4" s="920"/>
      <c r="M4" s="326"/>
      <c r="N4" s="326"/>
      <c r="O4" s="326"/>
      <c r="P4" s="326"/>
    </row>
    <row r="5" spans="1:16" s="325" customFormat="1" ht="23.25" customHeight="1">
      <c r="A5" s="219"/>
      <c r="B5" s="219"/>
      <c r="C5" s="219"/>
      <c r="D5" s="219"/>
      <c r="E5" s="219"/>
      <c r="F5" s="219"/>
      <c r="G5" s="219"/>
      <c r="H5" s="219"/>
      <c r="I5" s="219"/>
      <c r="J5" s="219"/>
      <c r="K5" s="219"/>
      <c r="M5" s="326"/>
      <c r="N5" s="326"/>
      <c r="O5" s="326"/>
      <c r="P5" s="326"/>
    </row>
    <row r="6" spans="1:210" s="325" customFormat="1" ht="16.5">
      <c r="A6" s="321"/>
      <c r="B6" s="321"/>
      <c r="C6" s="321"/>
      <c r="D6" s="321"/>
      <c r="E6" s="321"/>
      <c r="F6" s="321"/>
      <c r="G6" s="321"/>
      <c r="H6" s="321"/>
      <c r="I6" s="321"/>
      <c r="J6" s="956" t="s">
        <v>30</v>
      </c>
      <c r="K6" s="956"/>
      <c r="L6" s="348"/>
      <c r="M6" s="349"/>
      <c r="N6" s="349"/>
      <c r="O6" s="349"/>
      <c r="P6" s="349"/>
      <c r="Q6" s="348"/>
      <c r="R6" s="348"/>
      <c r="S6" s="348"/>
      <c r="T6" s="348"/>
      <c r="U6" s="348"/>
      <c r="V6" s="348"/>
      <c r="W6" s="348"/>
      <c r="X6" s="348"/>
      <c r="Y6" s="348"/>
      <c r="Z6" s="348"/>
      <c r="AA6" s="348"/>
      <c r="AB6" s="348"/>
      <c r="AC6" s="348"/>
      <c r="AD6" s="348"/>
      <c r="AE6" s="348"/>
      <c r="AF6" s="348"/>
      <c r="AG6" s="348"/>
      <c r="AH6" s="348"/>
      <c r="AI6" s="348"/>
      <c r="AJ6" s="348"/>
      <c r="AK6" s="348"/>
      <c r="AL6" s="348"/>
      <c r="AM6" s="348"/>
      <c r="AN6" s="348"/>
      <c r="AO6" s="348"/>
      <c r="AP6" s="348"/>
      <c r="AQ6" s="348"/>
      <c r="AR6" s="348"/>
      <c r="AS6" s="348"/>
      <c r="AT6" s="348"/>
      <c r="AU6" s="348"/>
      <c r="AV6" s="348"/>
      <c r="AW6" s="348"/>
      <c r="AX6" s="348"/>
      <c r="AY6" s="348"/>
      <c r="AZ6" s="348"/>
      <c r="BA6" s="348"/>
      <c r="BB6" s="348"/>
      <c r="BC6" s="348"/>
      <c r="BD6" s="348"/>
      <c r="BE6" s="348"/>
      <c r="BF6" s="348"/>
      <c r="BG6" s="348"/>
      <c r="BH6" s="348"/>
      <c r="BI6" s="348"/>
      <c r="BJ6" s="348"/>
      <c r="BK6" s="348"/>
      <c r="BL6" s="348"/>
      <c r="BM6" s="348"/>
      <c r="BN6" s="348"/>
      <c r="BO6" s="348"/>
      <c r="BP6" s="348"/>
      <c r="BQ6" s="348"/>
      <c r="BR6" s="348"/>
      <c r="BS6" s="348"/>
      <c r="BT6" s="348"/>
      <c r="BU6" s="348"/>
      <c r="BV6" s="348"/>
      <c r="BW6" s="348"/>
      <c r="BX6" s="348"/>
      <c r="BY6" s="348"/>
      <c r="BZ6" s="348"/>
      <c r="CA6" s="348"/>
      <c r="CB6" s="348"/>
      <c r="CC6" s="348"/>
      <c r="CD6" s="348"/>
      <c r="CE6" s="348"/>
      <c r="CF6" s="348"/>
      <c r="CG6" s="348"/>
      <c r="CH6" s="348"/>
      <c r="CI6" s="348"/>
      <c r="CJ6" s="348"/>
      <c r="CK6" s="348"/>
      <c r="CL6" s="348"/>
      <c r="CM6" s="348"/>
      <c r="CN6" s="348"/>
      <c r="CO6" s="348"/>
      <c r="CP6" s="348"/>
      <c r="CQ6" s="348"/>
      <c r="CR6" s="348"/>
      <c r="CS6" s="348"/>
      <c r="CT6" s="348"/>
      <c r="CU6" s="348"/>
      <c r="CV6" s="348"/>
      <c r="CW6" s="348"/>
      <c r="CX6" s="348"/>
      <c r="CY6" s="348"/>
      <c r="CZ6" s="348"/>
      <c r="DA6" s="348"/>
      <c r="DB6" s="348"/>
      <c r="DC6" s="348"/>
      <c r="DD6" s="348"/>
      <c r="DE6" s="348"/>
      <c r="DF6" s="348"/>
      <c r="DG6" s="348"/>
      <c r="DH6" s="348"/>
      <c r="DI6" s="348"/>
      <c r="DJ6" s="348"/>
      <c r="DK6" s="348"/>
      <c r="DL6" s="348"/>
      <c r="DM6" s="348"/>
      <c r="DN6" s="348"/>
      <c r="DO6" s="348"/>
      <c r="DP6" s="348"/>
      <c r="DQ6" s="348"/>
      <c r="DR6" s="348"/>
      <c r="DS6" s="348"/>
      <c r="DT6" s="348"/>
      <c r="DU6" s="348"/>
      <c r="DV6" s="348"/>
      <c r="DW6" s="348"/>
      <c r="DX6" s="348"/>
      <c r="DY6" s="348"/>
      <c r="DZ6" s="348"/>
      <c r="EA6" s="348"/>
      <c r="EB6" s="348"/>
      <c r="EC6" s="348"/>
      <c r="ED6" s="348"/>
      <c r="EE6" s="348"/>
      <c r="EF6" s="348"/>
      <c r="EG6" s="348"/>
      <c r="EH6" s="348"/>
      <c r="EI6" s="348"/>
      <c r="EJ6" s="348"/>
      <c r="EK6" s="348"/>
      <c r="EL6" s="348"/>
      <c r="EM6" s="348"/>
      <c r="EN6" s="348"/>
      <c r="EO6" s="348"/>
      <c r="EP6" s="348"/>
      <c r="EQ6" s="348"/>
      <c r="ER6" s="348"/>
      <c r="ES6" s="348"/>
      <c r="ET6" s="348"/>
      <c r="EU6" s="348"/>
      <c r="EV6" s="348"/>
      <c r="EW6" s="348"/>
      <c r="EX6" s="348"/>
      <c r="EY6" s="348"/>
      <c r="EZ6" s="348"/>
      <c r="FA6" s="348"/>
      <c r="FB6" s="348"/>
      <c r="FC6" s="348"/>
      <c r="FD6" s="348"/>
      <c r="FE6" s="348"/>
      <c r="FF6" s="348"/>
      <c r="FG6" s="348"/>
      <c r="FH6" s="348"/>
      <c r="FI6" s="348"/>
      <c r="FJ6" s="348"/>
      <c r="FK6" s="348"/>
      <c r="FL6" s="348"/>
      <c r="FM6" s="348"/>
      <c r="FN6" s="348"/>
      <c r="FO6" s="348"/>
      <c r="FP6" s="348"/>
      <c r="FQ6" s="348"/>
      <c r="FR6" s="348"/>
      <c r="FS6" s="348"/>
      <c r="FT6" s="348"/>
      <c r="FU6" s="348"/>
      <c r="FV6" s="348"/>
      <c r="FW6" s="348"/>
      <c r="FX6" s="348"/>
      <c r="FY6" s="348"/>
      <c r="FZ6" s="348"/>
      <c r="GA6" s="348"/>
      <c r="GB6" s="348"/>
      <c r="GC6" s="348"/>
      <c r="GD6" s="348"/>
      <c r="GE6" s="348"/>
      <c r="GF6" s="348"/>
      <c r="GG6" s="348"/>
      <c r="GH6" s="348"/>
      <c r="GI6" s="348"/>
      <c r="GJ6" s="348"/>
      <c r="GK6" s="348"/>
      <c r="GL6" s="348"/>
      <c r="GM6" s="348"/>
      <c r="GN6" s="348"/>
      <c r="GO6" s="348"/>
      <c r="GP6" s="348"/>
      <c r="GQ6" s="348"/>
      <c r="GR6" s="348"/>
      <c r="GS6" s="348"/>
      <c r="GT6" s="348"/>
      <c r="GU6" s="348"/>
      <c r="GV6" s="348"/>
      <c r="GW6" s="348"/>
      <c r="GX6" s="348"/>
      <c r="GY6" s="348"/>
      <c r="GZ6" s="348"/>
      <c r="HA6" s="348"/>
      <c r="HB6" s="348"/>
    </row>
    <row r="7" spans="1:210" s="352" customFormat="1" ht="37.5" customHeight="1">
      <c r="A7" s="957" t="s">
        <v>31</v>
      </c>
      <c r="B7" s="957"/>
      <c r="C7" s="933" t="s">
        <v>351</v>
      </c>
      <c r="D7" s="958"/>
      <c r="E7" s="934"/>
      <c r="F7" s="955" t="s">
        <v>331</v>
      </c>
      <c r="G7" s="955"/>
      <c r="H7" s="955"/>
      <c r="I7" s="955"/>
      <c r="J7" s="955"/>
      <c r="K7" s="955"/>
      <c r="L7" s="350"/>
      <c r="M7" s="351"/>
      <c r="N7" s="351"/>
      <c r="O7" s="351"/>
      <c r="P7" s="351"/>
      <c r="Q7" s="350"/>
      <c r="R7" s="350"/>
      <c r="S7" s="350"/>
      <c r="T7" s="350"/>
      <c r="U7" s="350"/>
      <c r="V7" s="350"/>
      <c r="W7" s="350"/>
      <c r="X7" s="350"/>
      <c r="Y7" s="350"/>
      <c r="Z7" s="350"/>
      <c r="AA7" s="350"/>
      <c r="AB7" s="350"/>
      <c r="AC7" s="350"/>
      <c r="AD7" s="350"/>
      <c r="AE7" s="350"/>
      <c r="AF7" s="350"/>
      <c r="AG7" s="350"/>
      <c r="AH7" s="350"/>
      <c r="AI7" s="350"/>
      <c r="AJ7" s="350"/>
      <c r="AK7" s="350"/>
      <c r="AL7" s="350"/>
      <c r="AM7" s="350"/>
      <c r="AN7" s="350"/>
      <c r="AO7" s="350"/>
      <c r="AP7" s="350"/>
      <c r="AQ7" s="350"/>
      <c r="AR7" s="350"/>
      <c r="AS7" s="350"/>
      <c r="AT7" s="350"/>
      <c r="AU7" s="350"/>
      <c r="AV7" s="350"/>
      <c r="AW7" s="350"/>
      <c r="AX7" s="350"/>
      <c r="AY7" s="350"/>
      <c r="AZ7" s="350"/>
      <c r="BA7" s="350"/>
      <c r="BB7" s="350"/>
      <c r="BC7" s="350"/>
      <c r="BD7" s="350"/>
      <c r="BE7" s="350"/>
      <c r="BF7" s="350"/>
      <c r="BG7" s="350"/>
      <c r="BH7" s="350"/>
      <c r="BI7" s="350"/>
      <c r="BJ7" s="350"/>
      <c r="BK7" s="350"/>
      <c r="BL7" s="350"/>
      <c r="BM7" s="350"/>
      <c r="BN7" s="350"/>
      <c r="BO7" s="350"/>
      <c r="BP7" s="350"/>
      <c r="BQ7" s="350"/>
      <c r="BR7" s="350"/>
      <c r="BS7" s="350"/>
      <c r="BT7" s="350"/>
      <c r="BU7" s="350"/>
      <c r="BV7" s="350"/>
      <c r="BW7" s="350"/>
      <c r="BX7" s="350"/>
      <c r="BY7" s="350"/>
      <c r="BZ7" s="350"/>
      <c r="CA7" s="350"/>
      <c r="CB7" s="350"/>
      <c r="CC7" s="350"/>
      <c r="CD7" s="350"/>
      <c r="CE7" s="350"/>
      <c r="CF7" s="350"/>
      <c r="CG7" s="350"/>
      <c r="CH7" s="350"/>
      <c r="CI7" s="350"/>
      <c r="CJ7" s="350"/>
      <c r="CK7" s="350"/>
      <c r="CL7" s="350"/>
      <c r="CM7" s="350"/>
      <c r="CN7" s="350"/>
      <c r="CO7" s="350"/>
      <c r="CP7" s="350"/>
      <c r="CQ7" s="350"/>
      <c r="CR7" s="350"/>
      <c r="CS7" s="350"/>
      <c r="CT7" s="350"/>
      <c r="CU7" s="350"/>
      <c r="CV7" s="350"/>
      <c r="CW7" s="350"/>
      <c r="CX7" s="350"/>
      <c r="CY7" s="350"/>
      <c r="CZ7" s="350"/>
      <c r="DA7" s="350"/>
      <c r="DB7" s="350"/>
      <c r="DC7" s="350"/>
      <c r="DD7" s="350"/>
      <c r="DE7" s="350"/>
      <c r="DF7" s="350"/>
      <c r="DG7" s="350"/>
      <c r="DH7" s="350"/>
      <c r="DI7" s="350"/>
      <c r="DJ7" s="350"/>
      <c r="DK7" s="350"/>
      <c r="DL7" s="350"/>
      <c r="DM7" s="350"/>
      <c r="DN7" s="350"/>
      <c r="DO7" s="350"/>
      <c r="DP7" s="350"/>
      <c r="DQ7" s="350"/>
      <c r="DR7" s="350"/>
      <c r="DS7" s="350"/>
      <c r="DT7" s="350"/>
      <c r="DU7" s="350"/>
      <c r="DV7" s="350"/>
      <c r="DW7" s="350"/>
      <c r="DX7" s="350"/>
      <c r="DY7" s="350"/>
      <c r="DZ7" s="350"/>
      <c r="EA7" s="350"/>
      <c r="EB7" s="350"/>
      <c r="EC7" s="350"/>
      <c r="ED7" s="350"/>
      <c r="EE7" s="350"/>
      <c r="EF7" s="350"/>
      <c r="EG7" s="350"/>
      <c r="EH7" s="350"/>
      <c r="EI7" s="350"/>
      <c r="EJ7" s="350"/>
      <c r="EK7" s="350"/>
      <c r="EL7" s="350"/>
      <c r="EM7" s="350"/>
      <c r="EN7" s="350"/>
      <c r="EO7" s="350"/>
      <c r="EP7" s="350"/>
      <c r="EQ7" s="350"/>
      <c r="ER7" s="350"/>
      <c r="ES7" s="350"/>
      <c r="ET7" s="350"/>
      <c r="EU7" s="350"/>
      <c r="EV7" s="350"/>
      <c r="EW7" s="350"/>
      <c r="EX7" s="350"/>
      <c r="EY7" s="350"/>
      <c r="EZ7" s="350"/>
      <c r="FA7" s="350"/>
      <c r="FB7" s="350"/>
      <c r="FC7" s="350"/>
      <c r="FD7" s="350"/>
      <c r="FE7" s="350"/>
      <c r="FF7" s="350"/>
      <c r="FG7" s="350"/>
      <c r="FH7" s="350"/>
      <c r="FI7" s="350"/>
      <c r="FJ7" s="350"/>
      <c r="FK7" s="350"/>
      <c r="FL7" s="350"/>
      <c r="FM7" s="350"/>
      <c r="FN7" s="350"/>
      <c r="FO7" s="350"/>
      <c r="FP7" s="350"/>
      <c r="FQ7" s="350"/>
      <c r="FR7" s="350"/>
      <c r="FS7" s="350"/>
      <c r="FT7" s="350"/>
      <c r="FU7" s="350"/>
      <c r="FV7" s="350"/>
      <c r="FW7" s="350"/>
      <c r="FX7" s="350"/>
      <c r="FY7" s="350"/>
      <c r="FZ7" s="350"/>
      <c r="GA7" s="350"/>
      <c r="GB7" s="350"/>
      <c r="GC7" s="350"/>
      <c r="GD7" s="350"/>
      <c r="GE7" s="350"/>
      <c r="GF7" s="350"/>
      <c r="GG7" s="350"/>
      <c r="GH7" s="350"/>
      <c r="GI7" s="350"/>
      <c r="GJ7" s="350"/>
      <c r="GK7" s="350"/>
      <c r="GL7" s="350"/>
      <c r="GM7" s="350"/>
      <c r="GN7" s="350"/>
      <c r="GO7" s="350"/>
      <c r="GP7" s="350"/>
      <c r="GQ7" s="350"/>
      <c r="GR7" s="350"/>
      <c r="GS7" s="350"/>
      <c r="GT7" s="350"/>
      <c r="GU7" s="350"/>
      <c r="GV7" s="350"/>
      <c r="GW7" s="350"/>
      <c r="GX7" s="350"/>
      <c r="GY7" s="350"/>
      <c r="GZ7" s="350"/>
      <c r="HA7" s="350"/>
      <c r="HB7" s="350"/>
    </row>
    <row r="8" spans="1:16" s="327" customFormat="1" ht="27.75" customHeight="1">
      <c r="A8" s="957"/>
      <c r="B8" s="957"/>
      <c r="C8" s="927" t="s">
        <v>511</v>
      </c>
      <c r="D8" s="951" t="s">
        <v>321</v>
      </c>
      <c r="E8" s="952"/>
      <c r="F8" s="940" t="s">
        <v>32</v>
      </c>
      <c r="G8" s="941"/>
      <c r="H8" s="942"/>
      <c r="I8" s="927" t="s">
        <v>33</v>
      </c>
      <c r="J8" s="927" t="s">
        <v>34</v>
      </c>
      <c r="K8" s="927" t="s">
        <v>35</v>
      </c>
      <c r="M8" s="328"/>
      <c r="N8" s="328"/>
      <c r="O8" s="328"/>
      <c r="P8" s="328"/>
    </row>
    <row r="9" spans="1:16" s="327" customFormat="1" ht="17.25" customHeight="1">
      <c r="A9" s="957"/>
      <c r="B9" s="957"/>
      <c r="C9" s="928"/>
      <c r="D9" s="927" t="s">
        <v>333</v>
      </c>
      <c r="E9" s="927" t="s">
        <v>320</v>
      </c>
      <c r="F9" s="949" t="s">
        <v>36</v>
      </c>
      <c r="G9" s="940" t="s">
        <v>321</v>
      </c>
      <c r="H9" s="942"/>
      <c r="I9" s="928"/>
      <c r="J9" s="928"/>
      <c r="K9" s="928"/>
      <c r="M9" s="328"/>
      <c r="N9" s="328"/>
      <c r="O9" s="328"/>
      <c r="P9" s="328"/>
    </row>
    <row r="10" spans="1:16" s="327" customFormat="1" ht="54.75" customHeight="1">
      <c r="A10" s="957"/>
      <c r="B10" s="957"/>
      <c r="C10" s="929"/>
      <c r="D10" s="929"/>
      <c r="E10" s="929"/>
      <c r="F10" s="950"/>
      <c r="G10" s="329" t="s">
        <v>333</v>
      </c>
      <c r="H10" s="329" t="s">
        <v>320</v>
      </c>
      <c r="I10" s="929"/>
      <c r="J10" s="929"/>
      <c r="K10" s="929"/>
      <c r="M10" s="328"/>
      <c r="N10" s="328"/>
      <c r="O10" s="328"/>
      <c r="P10" s="328"/>
    </row>
    <row r="11" spans="1:16" s="327" customFormat="1" ht="20.25" customHeight="1">
      <c r="A11" s="939" t="s">
        <v>323</v>
      </c>
      <c r="B11" s="939"/>
      <c r="C11" s="330">
        <v>1</v>
      </c>
      <c r="D11" s="330">
        <v>2</v>
      </c>
      <c r="E11" s="330">
        <v>3</v>
      </c>
      <c r="F11" s="330">
        <v>4</v>
      </c>
      <c r="G11" s="330">
        <v>5</v>
      </c>
      <c r="H11" s="330">
        <v>6</v>
      </c>
      <c r="I11" s="330">
        <v>7</v>
      </c>
      <c r="J11" s="330">
        <v>8</v>
      </c>
      <c r="K11" s="330">
        <v>9</v>
      </c>
      <c r="M11" s="328"/>
      <c r="N11" s="328"/>
      <c r="O11" s="328"/>
      <c r="P11" s="328"/>
    </row>
    <row r="12" spans="1:16" s="327" customFormat="1" ht="29.25" customHeight="1">
      <c r="A12" s="953" t="s">
        <v>37</v>
      </c>
      <c r="B12" s="954"/>
      <c r="C12" s="723">
        <f aca="true" t="shared" si="0" ref="C12:K12">SUM(C13:C75)</f>
        <v>121413</v>
      </c>
      <c r="D12" s="724">
        <f t="shared" si="0"/>
        <v>40471</v>
      </c>
      <c r="E12" s="334">
        <f t="shared" si="0"/>
        <v>80942</v>
      </c>
      <c r="F12" s="334">
        <f t="shared" si="0"/>
        <v>85838</v>
      </c>
      <c r="G12" s="334">
        <f t="shared" si="0"/>
        <v>27167</v>
      </c>
      <c r="H12" s="334">
        <f t="shared" si="0"/>
        <v>58671</v>
      </c>
      <c r="I12" s="334">
        <f t="shared" si="0"/>
        <v>16282</v>
      </c>
      <c r="J12" s="334">
        <f t="shared" si="0"/>
        <v>1310</v>
      </c>
      <c r="K12" s="334">
        <f t="shared" si="0"/>
        <v>4679</v>
      </c>
      <c r="M12" s="328"/>
      <c r="N12" s="328"/>
      <c r="O12" s="328"/>
      <c r="P12" s="328"/>
    </row>
    <row r="13" spans="1:16" s="327" customFormat="1" ht="23.25" customHeight="1">
      <c r="A13" s="59">
        <v>1</v>
      </c>
      <c r="B13" s="337" t="s">
        <v>449</v>
      </c>
      <c r="C13" s="725">
        <f aca="true" t="shared" si="1" ref="C13:C44">D13+E13</f>
        <v>2638.5</v>
      </c>
      <c r="D13" s="537">
        <f aca="true" t="shared" si="2" ref="D13:D44">(E13/4)*2</f>
        <v>879.5</v>
      </c>
      <c r="E13" s="353">
        <f aca="true" t="shared" si="3" ref="E13:E44">$H13+$I13+$J13+$K13</f>
        <v>1759</v>
      </c>
      <c r="F13" s="331">
        <f aca="true" t="shared" si="4" ref="F13:F44">G13+H13</f>
        <v>2073</v>
      </c>
      <c r="G13" s="331">
        <f>(H13/4)*2</f>
        <v>691</v>
      </c>
      <c r="H13" s="9">
        <v>1382</v>
      </c>
      <c r="I13" s="9">
        <v>210</v>
      </c>
      <c r="J13" s="9">
        <v>36</v>
      </c>
      <c r="K13" s="9">
        <v>131</v>
      </c>
      <c r="M13" s="328"/>
      <c r="N13" s="328"/>
      <c r="O13" s="328"/>
      <c r="P13" s="328"/>
    </row>
    <row r="14" spans="1:16" s="327" customFormat="1" ht="23.25" customHeight="1">
      <c r="A14" s="59">
        <v>2</v>
      </c>
      <c r="B14" s="337" t="s">
        <v>450</v>
      </c>
      <c r="C14" s="725">
        <f t="shared" si="1"/>
        <v>1335</v>
      </c>
      <c r="D14" s="537">
        <f t="shared" si="2"/>
        <v>445</v>
      </c>
      <c r="E14" s="353">
        <f t="shared" si="3"/>
        <v>890</v>
      </c>
      <c r="F14" s="331">
        <f t="shared" si="4"/>
        <v>810</v>
      </c>
      <c r="G14" s="331">
        <f>(H14/4)*2</f>
        <v>270</v>
      </c>
      <c r="H14" s="9">
        <v>540</v>
      </c>
      <c r="I14" s="9">
        <v>282</v>
      </c>
      <c r="J14" s="9">
        <v>8</v>
      </c>
      <c r="K14" s="9">
        <v>60</v>
      </c>
      <c r="M14" s="328"/>
      <c r="N14" s="328"/>
      <c r="O14" s="328"/>
      <c r="P14" s="328"/>
    </row>
    <row r="15" spans="1:16" s="327" customFormat="1" ht="23.25" customHeight="1">
      <c r="A15" s="59">
        <v>3</v>
      </c>
      <c r="B15" s="337" t="s">
        <v>451</v>
      </c>
      <c r="C15" s="725">
        <f t="shared" si="1"/>
        <v>1867.5</v>
      </c>
      <c r="D15" s="537">
        <f t="shared" si="2"/>
        <v>622.5</v>
      </c>
      <c r="E15" s="625">
        <f t="shared" si="3"/>
        <v>1245</v>
      </c>
      <c r="F15" s="331">
        <f t="shared" si="4"/>
        <v>1177.5</v>
      </c>
      <c r="G15" s="331">
        <f>(H15/4)*2</f>
        <v>392.5</v>
      </c>
      <c r="H15" s="9">
        <v>785</v>
      </c>
      <c r="I15" s="338">
        <v>375</v>
      </c>
      <c r="J15" s="9">
        <v>16</v>
      </c>
      <c r="K15" s="9">
        <v>69</v>
      </c>
      <c r="L15" s="327" t="s">
        <v>38</v>
      </c>
      <c r="M15" s="328"/>
      <c r="N15" s="328"/>
      <c r="O15" s="328"/>
      <c r="P15" s="328"/>
    </row>
    <row r="16" spans="1:16" s="327" customFormat="1" ht="23.25" customHeight="1">
      <c r="A16" s="59">
        <v>4</v>
      </c>
      <c r="B16" s="337" t="s">
        <v>452</v>
      </c>
      <c r="C16" s="725">
        <f t="shared" si="1"/>
        <v>562.5</v>
      </c>
      <c r="D16" s="537">
        <f t="shared" si="2"/>
        <v>187.5</v>
      </c>
      <c r="E16" s="353">
        <f t="shared" si="3"/>
        <v>375</v>
      </c>
      <c r="F16" s="331">
        <f t="shared" si="4"/>
        <v>463</v>
      </c>
      <c r="G16" s="9">
        <v>188</v>
      </c>
      <c r="H16" s="9">
        <v>275</v>
      </c>
      <c r="I16" s="9">
        <v>75</v>
      </c>
      <c r="J16" s="9">
        <v>0</v>
      </c>
      <c r="K16" s="9">
        <v>25</v>
      </c>
      <c r="M16" s="328"/>
      <c r="N16" s="328"/>
      <c r="O16" s="328"/>
      <c r="P16" s="328"/>
    </row>
    <row r="17" spans="1:16" s="327" customFormat="1" ht="23.25" customHeight="1">
      <c r="A17" s="59">
        <v>5</v>
      </c>
      <c r="B17" s="337" t="s">
        <v>453</v>
      </c>
      <c r="C17" s="725">
        <f t="shared" si="1"/>
        <v>1702.5</v>
      </c>
      <c r="D17" s="537">
        <f t="shared" si="2"/>
        <v>567.5</v>
      </c>
      <c r="E17" s="353">
        <f t="shared" si="3"/>
        <v>1135</v>
      </c>
      <c r="F17" s="331">
        <f t="shared" si="4"/>
        <v>963</v>
      </c>
      <c r="G17" s="331">
        <f>(H17/4)*2</f>
        <v>321</v>
      </c>
      <c r="H17" s="9">
        <v>642</v>
      </c>
      <c r="I17" s="9">
        <v>265</v>
      </c>
      <c r="J17" s="9">
        <v>63</v>
      </c>
      <c r="K17" s="9">
        <v>165</v>
      </c>
      <c r="M17" s="328"/>
      <c r="N17" s="328"/>
      <c r="O17" s="328"/>
      <c r="P17" s="328"/>
    </row>
    <row r="18" spans="1:16" s="327" customFormat="1" ht="23.25" customHeight="1">
      <c r="A18" s="59">
        <v>6</v>
      </c>
      <c r="B18" s="337" t="s">
        <v>454</v>
      </c>
      <c r="C18" s="725">
        <f t="shared" si="1"/>
        <v>945</v>
      </c>
      <c r="D18" s="537">
        <f t="shared" si="2"/>
        <v>315</v>
      </c>
      <c r="E18" s="353">
        <f t="shared" si="3"/>
        <v>630</v>
      </c>
      <c r="F18" s="331">
        <f t="shared" si="4"/>
        <v>493</v>
      </c>
      <c r="G18" s="9">
        <v>123</v>
      </c>
      <c r="H18" s="9">
        <v>370</v>
      </c>
      <c r="I18" s="9">
        <v>221</v>
      </c>
      <c r="J18" s="9">
        <v>7</v>
      </c>
      <c r="K18" s="9">
        <v>32</v>
      </c>
      <c r="M18" s="328"/>
      <c r="N18" s="328"/>
      <c r="O18" s="328"/>
      <c r="P18" s="328"/>
    </row>
    <row r="19" spans="1:16" s="327" customFormat="1" ht="23.25" customHeight="1">
      <c r="A19" s="59">
        <v>7</v>
      </c>
      <c r="B19" s="337" t="s">
        <v>455</v>
      </c>
      <c r="C19" s="725">
        <f t="shared" si="1"/>
        <v>1921.5</v>
      </c>
      <c r="D19" s="537">
        <f t="shared" si="2"/>
        <v>640.5</v>
      </c>
      <c r="E19" s="353">
        <f t="shared" si="3"/>
        <v>1281</v>
      </c>
      <c r="F19" s="331">
        <f t="shared" si="4"/>
        <v>1330</v>
      </c>
      <c r="G19" s="9">
        <v>393</v>
      </c>
      <c r="H19" s="9">
        <v>937</v>
      </c>
      <c r="I19" s="9">
        <v>266</v>
      </c>
      <c r="J19" s="9">
        <v>19</v>
      </c>
      <c r="K19" s="9">
        <v>59</v>
      </c>
      <c r="M19" s="328"/>
      <c r="N19" s="328"/>
      <c r="O19" s="328"/>
      <c r="P19" s="328"/>
    </row>
    <row r="20" spans="1:16" s="327" customFormat="1" ht="23.25" customHeight="1">
      <c r="A20" s="59">
        <v>8</v>
      </c>
      <c r="B20" s="337" t="s">
        <v>456</v>
      </c>
      <c r="C20" s="725">
        <f t="shared" si="1"/>
        <v>1824</v>
      </c>
      <c r="D20" s="537">
        <f t="shared" si="2"/>
        <v>608</v>
      </c>
      <c r="E20" s="353">
        <f t="shared" si="3"/>
        <v>1216</v>
      </c>
      <c r="F20" s="331">
        <f t="shared" si="4"/>
        <v>1417.5</v>
      </c>
      <c r="G20" s="331">
        <f>(H20/4)*2</f>
        <v>472.5</v>
      </c>
      <c r="H20" s="9">
        <v>945</v>
      </c>
      <c r="I20" s="9">
        <v>190</v>
      </c>
      <c r="J20" s="9">
        <v>15</v>
      </c>
      <c r="K20" s="9">
        <v>66</v>
      </c>
      <c r="M20" s="328"/>
      <c r="N20" s="328"/>
      <c r="O20" s="328"/>
      <c r="P20" s="328"/>
    </row>
    <row r="21" spans="1:16" s="327" customFormat="1" ht="23.25" customHeight="1">
      <c r="A21" s="59">
        <v>9</v>
      </c>
      <c r="B21" s="337" t="s">
        <v>457</v>
      </c>
      <c r="C21" s="725">
        <f t="shared" si="1"/>
        <v>1608</v>
      </c>
      <c r="D21" s="537">
        <f t="shared" si="2"/>
        <v>536</v>
      </c>
      <c r="E21" s="353">
        <f t="shared" si="3"/>
        <v>1072</v>
      </c>
      <c r="F21" s="331">
        <f t="shared" si="4"/>
        <v>1173</v>
      </c>
      <c r="G21" s="331">
        <f>(H21/4)*2</f>
        <v>391</v>
      </c>
      <c r="H21" s="9">
        <v>782</v>
      </c>
      <c r="I21" s="9">
        <v>206</v>
      </c>
      <c r="J21" s="9">
        <v>16</v>
      </c>
      <c r="K21" s="9">
        <v>68</v>
      </c>
      <c r="M21" s="328"/>
      <c r="N21" s="328"/>
      <c r="O21" s="328"/>
      <c r="P21" s="328"/>
    </row>
    <row r="22" spans="1:16" s="327" customFormat="1" ht="23.25" customHeight="1">
      <c r="A22" s="59">
        <v>10</v>
      </c>
      <c r="B22" s="337" t="s">
        <v>362</v>
      </c>
      <c r="C22" s="725">
        <f t="shared" si="1"/>
        <v>1708.5</v>
      </c>
      <c r="D22" s="537">
        <f t="shared" si="2"/>
        <v>569.5</v>
      </c>
      <c r="E22" s="625">
        <f t="shared" si="3"/>
        <v>1139</v>
      </c>
      <c r="F22" s="331">
        <f t="shared" si="4"/>
        <v>1123.5</v>
      </c>
      <c r="G22" s="280">
        <f>(H22/4)*2</f>
        <v>374.5</v>
      </c>
      <c r="H22" s="9">
        <v>749</v>
      </c>
      <c r="I22" s="338">
        <v>332</v>
      </c>
      <c r="J22" s="9">
        <v>8</v>
      </c>
      <c r="K22" s="9">
        <v>50</v>
      </c>
      <c r="L22" s="327" t="s">
        <v>39</v>
      </c>
      <c r="M22" s="328"/>
      <c r="N22" s="328"/>
      <c r="O22" s="328"/>
      <c r="P22" s="328"/>
    </row>
    <row r="23" spans="1:16" s="327" customFormat="1" ht="23.25" customHeight="1">
      <c r="A23" s="59">
        <v>11</v>
      </c>
      <c r="B23" s="337" t="s">
        <v>363</v>
      </c>
      <c r="C23" s="725">
        <f t="shared" si="1"/>
        <v>1356</v>
      </c>
      <c r="D23" s="537">
        <f t="shared" si="2"/>
        <v>452</v>
      </c>
      <c r="E23" s="353">
        <f t="shared" si="3"/>
        <v>904</v>
      </c>
      <c r="F23" s="331">
        <f t="shared" si="4"/>
        <v>684</v>
      </c>
      <c r="G23" s="331">
        <f>(H23/4)*2</f>
        <v>228</v>
      </c>
      <c r="H23" s="9">
        <v>456</v>
      </c>
      <c r="I23" s="9">
        <v>375</v>
      </c>
      <c r="J23" s="9">
        <v>21</v>
      </c>
      <c r="K23" s="9">
        <v>52</v>
      </c>
      <c r="M23" s="328"/>
      <c r="N23" s="328"/>
      <c r="O23" s="328"/>
      <c r="P23" s="328"/>
    </row>
    <row r="24" spans="1:16" s="327" customFormat="1" ht="23.25" customHeight="1">
      <c r="A24" s="59">
        <v>12</v>
      </c>
      <c r="B24" s="337" t="s">
        <v>364</v>
      </c>
      <c r="C24" s="725">
        <f t="shared" si="1"/>
        <v>3172.5</v>
      </c>
      <c r="D24" s="537">
        <f t="shared" si="2"/>
        <v>1057.5</v>
      </c>
      <c r="E24" s="353">
        <f t="shared" si="3"/>
        <v>2115</v>
      </c>
      <c r="F24" s="331">
        <f t="shared" si="4"/>
        <v>2175</v>
      </c>
      <c r="G24" s="331">
        <f>(H24/4)*2</f>
        <v>725</v>
      </c>
      <c r="H24" s="9">
        <v>1450</v>
      </c>
      <c r="I24" s="9">
        <v>537</v>
      </c>
      <c r="J24" s="9">
        <v>63</v>
      </c>
      <c r="K24" s="9">
        <v>65</v>
      </c>
      <c r="M24" s="328"/>
      <c r="N24" s="328"/>
      <c r="O24" s="328"/>
      <c r="P24" s="328"/>
    </row>
    <row r="25" spans="1:16" s="327" customFormat="1" ht="23.25" customHeight="1">
      <c r="A25" s="59">
        <v>13</v>
      </c>
      <c r="B25" s="337" t="s">
        <v>365</v>
      </c>
      <c r="C25" s="725">
        <f t="shared" si="1"/>
        <v>2691</v>
      </c>
      <c r="D25" s="537">
        <f t="shared" si="2"/>
        <v>897</v>
      </c>
      <c r="E25" s="353">
        <f t="shared" si="3"/>
        <v>1794</v>
      </c>
      <c r="F25" s="331">
        <f t="shared" si="4"/>
        <v>1882</v>
      </c>
      <c r="G25" s="331">
        <v>627</v>
      </c>
      <c r="H25" s="9">
        <v>1255</v>
      </c>
      <c r="I25" s="9">
        <v>484</v>
      </c>
      <c r="J25" s="9">
        <v>15</v>
      </c>
      <c r="K25" s="9">
        <v>40</v>
      </c>
      <c r="M25" s="328"/>
      <c r="N25" s="328"/>
      <c r="O25" s="328"/>
      <c r="P25" s="328"/>
    </row>
    <row r="26" spans="1:16" s="327" customFormat="1" ht="23.25" customHeight="1">
      <c r="A26" s="59">
        <v>14</v>
      </c>
      <c r="B26" s="337" t="s">
        <v>366</v>
      </c>
      <c r="C26" s="725">
        <f t="shared" si="1"/>
        <v>538.5</v>
      </c>
      <c r="D26" s="537">
        <f t="shared" si="2"/>
        <v>179.5</v>
      </c>
      <c r="E26" s="625">
        <f t="shared" si="3"/>
        <v>359</v>
      </c>
      <c r="F26" s="331">
        <f t="shared" si="4"/>
        <v>303</v>
      </c>
      <c r="G26" s="331">
        <f>(H26/4)*2</f>
        <v>101</v>
      </c>
      <c r="H26" s="9">
        <v>202</v>
      </c>
      <c r="I26" s="9">
        <v>114</v>
      </c>
      <c r="J26" s="9">
        <v>16</v>
      </c>
      <c r="K26" s="9">
        <v>27</v>
      </c>
      <c r="L26" s="327" t="s">
        <v>3</v>
      </c>
      <c r="M26" s="328"/>
      <c r="N26" s="328"/>
      <c r="O26" s="328"/>
      <c r="P26" s="328"/>
    </row>
    <row r="27" spans="1:16" s="327" customFormat="1" ht="23.25" customHeight="1">
      <c r="A27" s="59">
        <v>15</v>
      </c>
      <c r="B27" s="337" t="s">
        <v>367</v>
      </c>
      <c r="C27" s="725">
        <f t="shared" si="1"/>
        <v>0</v>
      </c>
      <c r="D27" s="537">
        <f t="shared" si="2"/>
        <v>0</v>
      </c>
      <c r="E27" s="353">
        <f t="shared" si="3"/>
        <v>0</v>
      </c>
      <c r="F27" s="331">
        <f t="shared" si="4"/>
        <v>0</v>
      </c>
      <c r="G27" s="331">
        <f>(H27/4)*2</f>
        <v>0</v>
      </c>
      <c r="H27" s="9"/>
      <c r="I27" s="9"/>
      <c r="J27" s="9"/>
      <c r="K27" s="9"/>
      <c r="M27" s="328"/>
      <c r="N27" s="328"/>
      <c r="O27" s="328"/>
      <c r="P27" s="328"/>
    </row>
    <row r="28" spans="1:16" s="327" customFormat="1" ht="23.25" customHeight="1">
      <c r="A28" s="59">
        <v>16</v>
      </c>
      <c r="B28" s="337" t="s">
        <v>368</v>
      </c>
      <c r="C28" s="725">
        <f t="shared" si="1"/>
        <v>906</v>
      </c>
      <c r="D28" s="537">
        <f t="shared" si="2"/>
        <v>302</v>
      </c>
      <c r="E28" s="353">
        <f t="shared" si="3"/>
        <v>604</v>
      </c>
      <c r="F28" s="331">
        <f t="shared" si="4"/>
        <v>477</v>
      </c>
      <c r="G28" s="331">
        <f>(H28/4)*2</f>
        <v>159</v>
      </c>
      <c r="H28" s="9">
        <v>318</v>
      </c>
      <c r="I28" s="9">
        <v>231</v>
      </c>
      <c r="J28" s="9">
        <v>19</v>
      </c>
      <c r="K28" s="9">
        <v>36</v>
      </c>
      <c r="M28" s="328"/>
      <c r="N28" s="328"/>
      <c r="O28" s="328"/>
      <c r="P28" s="328"/>
    </row>
    <row r="29" spans="1:16" s="327" customFormat="1" ht="23.25" customHeight="1">
      <c r="A29" s="59">
        <v>17</v>
      </c>
      <c r="B29" s="337" t="s">
        <v>369</v>
      </c>
      <c r="C29" s="725">
        <f t="shared" si="1"/>
        <v>324</v>
      </c>
      <c r="D29" s="537">
        <f t="shared" si="2"/>
        <v>108</v>
      </c>
      <c r="E29" s="353">
        <f t="shared" si="3"/>
        <v>216</v>
      </c>
      <c r="F29" s="331">
        <f t="shared" si="4"/>
        <v>216</v>
      </c>
      <c r="G29" s="331">
        <f>(H29/4)*2</f>
        <v>72</v>
      </c>
      <c r="H29" s="9">
        <v>144</v>
      </c>
      <c r="I29" s="9">
        <v>48</v>
      </c>
      <c r="J29" s="9">
        <v>4</v>
      </c>
      <c r="K29" s="9">
        <v>20</v>
      </c>
      <c r="M29" s="328"/>
      <c r="N29" s="328"/>
      <c r="O29" s="328"/>
      <c r="P29" s="328"/>
    </row>
    <row r="30" spans="1:16" s="327" customFormat="1" ht="23.25" customHeight="1">
      <c r="A30" s="59">
        <v>18</v>
      </c>
      <c r="B30" s="337" t="s">
        <v>370</v>
      </c>
      <c r="C30" s="725">
        <f t="shared" si="1"/>
        <v>558</v>
      </c>
      <c r="D30" s="537">
        <f t="shared" si="2"/>
        <v>186</v>
      </c>
      <c r="E30" s="353">
        <f t="shared" si="3"/>
        <v>372</v>
      </c>
      <c r="F30" s="331">
        <f t="shared" si="4"/>
        <v>312</v>
      </c>
      <c r="G30" s="9">
        <v>90</v>
      </c>
      <c r="H30" s="9">
        <v>222</v>
      </c>
      <c r="I30" s="9">
        <v>109</v>
      </c>
      <c r="J30" s="9">
        <v>3</v>
      </c>
      <c r="K30" s="9">
        <v>38</v>
      </c>
      <c r="M30" s="328"/>
      <c r="N30" s="328"/>
      <c r="O30" s="328"/>
      <c r="P30" s="328"/>
    </row>
    <row r="31" spans="1:16" s="327" customFormat="1" ht="23.25" customHeight="1">
      <c r="A31" s="59">
        <v>19</v>
      </c>
      <c r="B31" s="70" t="s">
        <v>371</v>
      </c>
      <c r="C31" s="725">
        <f t="shared" si="1"/>
        <v>2451</v>
      </c>
      <c r="D31" s="537">
        <f t="shared" si="2"/>
        <v>817</v>
      </c>
      <c r="E31" s="625">
        <f t="shared" si="3"/>
        <v>1634</v>
      </c>
      <c r="F31" s="331">
        <f t="shared" si="4"/>
        <v>1764</v>
      </c>
      <c r="G31" s="9">
        <v>582</v>
      </c>
      <c r="H31" s="9">
        <v>1182</v>
      </c>
      <c r="I31" s="9">
        <v>322</v>
      </c>
      <c r="J31" s="9">
        <v>7</v>
      </c>
      <c r="K31" s="9">
        <v>123</v>
      </c>
      <c r="L31" s="327" t="s">
        <v>40</v>
      </c>
      <c r="M31" s="328"/>
      <c r="N31" s="328"/>
      <c r="O31" s="328"/>
      <c r="P31" s="328"/>
    </row>
    <row r="32" spans="1:16" s="327" customFormat="1" ht="23.25" customHeight="1">
      <c r="A32" s="59">
        <v>20</v>
      </c>
      <c r="B32" s="70" t="s">
        <v>372</v>
      </c>
      <c r="C32" s="725">
        <f t="shared" si="1"/>
        <v>3457.5</v>
      </c>
      <c r="D32" s="537">
        <f t="shared" si="2"/>
        <v>1152.5</v>
      </c>
      <c r="E32" s="353">
        <f t="shared" si="3"/>
        <v>2305</v>
      </c>
      <c r="F32" s="331">
        <f t="shared" si="4"/>
        <v>2488</v>
      </c>
      <c r="G32" s="331">
        <v>829</v>
      </c>
      <c r="H32" s="9">
        <v>1659</v>
      </c>
      <c r="I32" s="9">
        <v>506</v>
      </c>
      <c r="J32" s="9">
        <v>52</v>
      </c>
      <c r="K32" s="9">
        <v>88</v>
      </c>
      <c r="M32" s="328"/>
      <c r="N32" s="328"/>
      <c r="O32" s="328"/>
      <c r="P32" s="328"/>
    </row>
    <row r="33" spans="1:16" s="327" customFormat="1" ht="23.25" customHeight="1">
      <c r="A33" s="59">
        <v>21</v>
      </c>
      <c r="B33" s="70" t="s">
        <v>373</v>
      </c>
      <c r="C33" s="725">
        <f t="shared" si="1"/>
        <v>1275</v>
      </c>
      <c r="D33" s="537">
        <f t="shared" si="2"/>
        <v>425</v>
      </c>
      <c r="E33" s="353">
        <f t="shared" si="3"/>
        <v>850</v>
      </c>
      <c r="F33" s="331">
        <f t="shared" si="4"/>
        <v>895.5</v>
      </c>
      <c r="G33" s="331">
        <f>(H33/4)*2</f>
        <v>298.5</v>
      </c>
      <c r="H33" s="9">
        <v>597</v>
      </c>
      <c r="I33" s="9">
        <v>167</v>
      </c>
      <c r="J33" s="9">
        <v>16</v>
      </c>
      <c r="K33" s="9">
        <v>70</v>
      </c>
      <c r="M33" s="328"/>
      <c r="N33" s="328"/>
      <c r="O33" s="328"/>
      <c r="P33" s="328"/>
    </row>
    <row r="34" spans="1:16" s="327" customFormat="1" ht="23.25" customHeight="1">
      <c r="A34" s="59">
        <v>22</v>
      </c>
      <c r="B34" s="70" t="s">
        <v>374</v>
      </c>
      <c r="C34" s="725">
        <f t="shared" si="1"/>
        <v>1012.5</v>
      </c>
      <c r="D34" s="537">
        <f t="shared" si="2"/>
        <v>337.5</v>
      </c>
      <c r="E34" s="625">
        <f t="shared" si="3"/>
        <v>675</v>
      </c>
      <c r="F34" s="331">
        <f t="shared" si="4"/>
        <v>859.5</v>
      </c>
      <c r="G34" s="331">
        <f>(H34/4)*2</f>
        <v>286.5</v>
      </c>
      <c r="H34" s="9">
        <v>573</v>
      </c>
      <c r="I34" s="9">
        <v>50</v>
      </c>
      <c r="J34" s="9">
        <v>11</v>
      </c>
      <c r="K34" s="9">
        <v>41</v>
      </c>
      <c r="L34" s="327" t="s">
        <v>41</v>
      </c>
      <c r="M34" s="328"/>
      <c r="N34" s="328"/>
      <c r="O34" s="328"/>
      <c r="P34" s="328"/>
    </row>
    <row r="35" spans="1:16" s="327" customFormat="1" ht="23.25" customHeight="1">
      <c r="A35" s="59">
        <v>23</v>
      </c>
      <c r="B35" s="70" t="s">
        <v>375</v>
      </c>
      <c r="C35" s="725">
        <f t="shared" si="1"/>
        <v>2988</v>
      </c>
      <c r="D35" s="537">
        <f t="shared" si="2"/>
        <v>996</v>
      </c>
      <c r="E35" s="353">
        <f t="shared" si="3"/>
        <v>1992</v>
      </c>
      <c r="F35" s="331">
        <f t="shared" si="4"/>
        <v>2642</v>
      </c>
      <c r="G35" s="9">
        <v>900</v>
      </c>
      <c r="H35" s="9">
        <v>1742</v>
      </c>
      <c r="I35" s="9">
        <v>123</v>
      </c>
      <c r="J35" s="9">
        <v>36</v>
      </c>
      <c r="K35" s="9">
        <v>91</v>
      </c>
      <c r="M35" s="328"/>
      <c r="N35" s="328"/>
      <c r="O35" s="328"/>
      <c r="P35" s="328"/>
    </row>
    <row r="36" spans="1:16" s="327" customFormat="1" ht="23.25" customHeight="1">
      <c r="A36" s="59">
        <v>24</v>
      </c>
      <c r="B36" s="70" t="s">
        <v>376</v>
      </c>
      <c r="C36" s="725">
        <f t="shared" si="1"/>
        <v>6150</v>
      </c>
      <c r="D36" s="537">
        <f t="shared" si="2"/>
        <v>2050</v>
      </c>
      <c r="E36" s="353">
        <f t="shared" si="3"/>
        <v>4100</v>
      </c>
      <c r="F36" s="331">
        <f t="shared" si="4"/>
        <v>4422</v>
      </c>
      <c r="G36" s="331">
        <f>(H36/4)*2</f>
        <v>1474</v>
      </c>
      <c r="H36" s="9">
        <v>2948</v>
      </c>
      <c r="I36" s="9">
        <v>704</v>
      </c>
      <c r="J36" s="9">
        <v>35</v>
      </c>
      <c r="K36" s="9">
        <v>413</v>
      </c>
      <c r="M36" s="328"/>
      <c r="N36" s="328"/>
      <c r="O36" s="328"/>
      <c r="P36" s="328"/>
    </row>
    <row r="37" spans="1:16" s="327" customFormat="1" ht="23.25" customHeight="1">
      <c r="A37" s="59">
        <v>25</v>
      </c>
      <c r="B37" s="70" t="s">
        <v>377</v>
      </c>
      <c r="C37" s="725">
        <f t="shared" si="1"/>
        <v>2139</v>
      </c>
      <c r="D37" s="537">
        <f t="shared" si="2"/>
        <v>713</v>
      </c>
      <c r="E37" s="353">
        <f t="shared" si="3"/>
        <v>1426</v>
      </c>
      <c r="F37" s="331">
        <f t="shared" si="4"/>
        <v>1485</v>
      </c>
      <c r="G37" s="331">
        <f>(H37/4)*2</f>
        <v>495</v>
      </c>
      <c r="H37" s="9">
        <v>990</v>
      </c>
      <c r="I37" s="9">
        <v>240</v>
      </c>
      <c r="J37" s="9">
        <v>33</v>
      </c>
      <c r="K37" s="9">
        <v>163</v>
      </c>
      <c r="M37" s="328"/>
      <c r="N37" s="328"/>
      <c r="O37" s="328"/>
      <c r="P37" s="328"/>
    </row>
    <row r="38" spans="1:16" s="327" customFormat="1" ht="23.25" customHeight="1">
      <c r="A38" s="59">
        <v>26</v>
      </c>
      <c r="B38" s="70" t="s">
        <v>378</v>
      </c>
      <c r="C38" s="725">
        <f t="shared" si="1"/>
        <v>4413</v>
      </c>
      <c r="D38" s="537">
        <f t="shared" si="2"/>
        <v>1471</v>
      </c>
      <c r="E38" s="353">
        <f t="shared" si="3"/>
        <v>2942</v>
      </c>
      <c r="F38" s="331">
        <f t="shared" si="4"/>
        <v>2705</v>
      </c>
      <c r="G38" s="9">
        <v>676</v>
      </c>
      <c r="H38" s="9">
        <v>2029</v>
      </c>
      <c r="I38" s="9">
        <v>662</v>
      </c>
      <c r="J38" s="9">
        <v>40</v>
      </c>
      <c r="K38" s="9">
        <v>211</v>
      </c>
      <c r="M38" s="328"/>
      <c r="N38" s="328"/>
      <c r="O38" s="328"/>
      <c r="P38" s="328"/>
    </row>
    <row r="39" spans="1:16" s="327" customFormat="1" ht="23.25" customHeight="1">
      <c r="A39" s="59">
        <v>27</v>
      </c>
      <c r="B39" s="70" t="s">
        <v>379</v>
      </c>
      <c r="C39" s="725">
        <f t="shared" si="1"/>
        <v>2700</v>
      </c>
      <c r="D39" s="537">
        <f t="shared" si="2"/>
        <v>900</v>
      </c>
      <c r="E39" s="353">
        <f t="shared" si="3"/>
        <v>1800</v>
      </c>
      <c r="F39" s="331">
        <f t="shared" si="4"/>
        <v>1969</v>
      </c>
      <c r="G39" s="331">
        <v>656</v>
      </c>
      <c r="H39" s="9">
        <v>1313</v>
      </c>
      <c r="I39" s="9">
        <v>307</v>
      </c>
      <c r="J39" s="9">
        <v>39</v>
      </c>
      <c r="K39" s="9">
        <v>141</v>
      </c>
      <c r="M39" s="328"/>
      <c r="N39" s="328"/>
      <c r="O39" s="328"/>
      <c r="P39" s="328"/>
    </row>
    <row r="40" spans="1:16" s="327" customFormat="1" ht="23.25" customHeight="1">
      <c r="A40" s="59">
        <v>28</v>
      </c>
      <c r="B40" s="70" t="s">
        <v>380</v>
      </c>
      <c r="C40" s="725">
        <f t="shared" si="1"/>
        <v>1998</v>
      </c>
      <c r="D40" s="537">
        <f t="shared" si="2"/>
        <v>666</v>
      </c>
      <c r="E40" s="353">
        <f t="shared" si="3"/>
        <v>1332</v>
      </c>
      <c r="F40" s="331">
        <f t="shared" si="4"/>
        <v>1689</v>
      </c>
      <c r="G40" s="331">
        <f>(H40/4)*2</f>
        <v>563</v>
      </c>
      <c r="H40" s="9">
        <v>1126</v>
      </c>
      <c r="I40" s="9">
        <v>144</v>
      </c>
      <c r="J40" s="9">
        <v>18</v>
      </c>
      <c r="K40" s="9">
        <v>44</v>
      </c>
      <c r="M40" s="328"/>
      <c r="N40" s="328"/>
      <c r="O40" s="328"/>
      <c r="P40" s="328"/>
    </row>
    <row r="41" spans="1:16" s="327" customFormat="1" ht="23.25" customHeight="1">
      <c r="A41" s="59">
        <v>29</v>
      </c>
      <c r="B41" s="70" t="s">
        <v>381</v>
      </c>
      <c r="C41" s="725">
        <f t="shared" si="1"/>
        <v>996</v>
      </c>
      <c r="D41" s="537">
        <f t="shared" si="2"/>
        <v>332</v>
      </c>
      <c r="E41" s="625">
        <f t="shared" si="3"/>
        <v>664</v>
      </c>
      <c r="F41" s="331">
        <f t="shared" si="4"/>
        <v>639</v>
      </c>
      <c r="G41" s="331">
        <f>(H41/4)*2</f>
        <v>213</v>
      </c>
      <c r="H41" s="9">
        <v>426</v>
      </c>
      <c r="I41" s="9">
        <v>131</v>
      </c>
      <c r="J41" s="9">
        <v>8</v>
      </c>
      <c r="K41" s="9">
        <v>99</v>
      </c>
      <c r="L41" s="327" t="s">
        <v>42</v>
      </c>
      <c r="M41" s="328"/>
      <c r="N41" s="328"/>
      <c r="O41" s="328"/>
      <c r="P41" s="328"/>
    </row>
    <row r="42" spans="1:16" s="327" customFormat="1" ht="23.25" customHeight="1">
      <c r="A42" s="59">
        <v>30</v>
      </c>
      <c r="B42" s="70" t="s">
        <v>382</v>
      </c>
      <c r="C42" s="725">
        <f t="shared" si="1"/>
        <v>1495.5</v>
      </c>
      <c r="D42" s="537">
        <f t="shared" si="2"/>
        <v>498.5</v>
      </c>
      <c r="E42" s="353">
        <f t="shared" si="3"/>
        <v>997</v>
      </c>
      <c r="F42" s="331">
        <f t="shared" si="4"/>
        <v>1219.5</v>
      </c>
      <c r="G42" s="331">
        <f>(H42/4)*2</f>
        <v>406.5</v>
      </c>
      <c r="H42" s="9">
        <v>813</v>
      </c>
      <c r="I42" s="9">
        <v>155</v>
      </c>
      <c r="J42" s="9">
        <v>7</v>
      </c>
      <c r="K42" s="9">
        <v>22</v>
      </c>
      <c r="M42" s="328"/>
      <c r="N42" s="328"/>
      <c r="O42" s="328"/>
      <c r="P42" s="328"/>
    </row>
    <row r="43" spans="1:16" s="327" customFormat="1" ht="23.25" customHeight="1">
      <c r="A43" s="59">
        <v>31</v>
      </c>
      <c r="B43" s="70" t="s">
        <v>383</v>
      </c>
      <c r="C43" s="725">
        <f t="shared" si="1"/>
        <v>651</v>
      </c>
      <c r="D43" s="537">
        <f t="shared" si="2"/>
        <v>217</v>
      </c>
      <c r="E43" s="353">
        <f t="shared" si="3"/>
        <v>434</v>
      </c>
      <c r="F43" s="331">
        <f t="shared" si="4"/>
        <v>559.5</v>
      </c>
      <c r="G43" s="331">
        <f>(H43/4)*2</f>
        <v>186.5</v>
      </c>
      <c r="H43" s="9">
        <v>373</v>
      </c>
      <c r="I43" s="9">
        <v>43</v>
      </c>
      <c r="J43" s="9">
        <v>1</v>
      </c>
      <c r="K43" s="9">
        <v>17</v>
      </c>
      <c r="M43" s="328"/>
      <c r="N43" s="328"/>
      <c r="O43" s="328"/>
      <c r="P43" s="328"/>
    </row>
    <row r="44" spans="1:16" s="327" customFormat="1" ht="23.25" customHeight="1">
      <c r="A44" s="59">
        <v>32</v>
      </c>
      <c r="B44" s="70" t="s">
        <v>384</v>
      </c>
      <c r="C44" s="725">
        <f t="shared" si="1"/>
        <v>3492</v>
      </c>
      <c r="D44" s="537">
        <f t="shared" si="2"/>
        <v>1164</v>
      </c>
      <c r="E44" s="353">
        <f t="shared" si="3"/>
        <v>2328</v>
      </c>
      <c r="F44" s="331">
        <f t="shared" si="4"/>
        <v>2194.5</v>
      </c>
      <c r="G44" s="331">
        <f>(H44/4)*2</f>
        <v>731.5</v>
      </c>
      <c r="H44" s="9">
        <v>1463</v>
      </c>
      <c r="I44" s="9">
        <v>649</v>
      </c>
      <c r="J44" s="9">
        <v>123</v>
      </c>
      <c r="K44" s="9">
        <v>93</v>
      </c>
      <c r="M44" s="328"/>
      <c r="N44" s="328"/>
      <c r="O44" s="328"/>
      <c r="P44" s="328"/>
    </row>
    <row r="45" spans="1:16" s="327" customFormat="1" ht="23.25" customHeight="1">
      <c r="A45" s="59">
        <v>33</v>
      </c>
      <c r="B45" s="70" t="s">
        <v>385</v>
      </c>
      <c r="C45" s="725">
        <f aca="true" t="shared" si="5" ref="C45:C75">D45+E45</f>
        <v>354</v>
      </c>
      <c r="D45" s="537">
        <f aca="true" t="shared" si="6" ref="D45:D75">(E45/4)*2</f>
        <v>118</v>
      </c>
      <c r="E45" s="353">
        <f aca="true" t="shared" si="7" ref="E45:E75">$H45+$I45+$J45+$K45</f>
        <v>236</v>
      </c>
      <c r="F45" s="331">
        <f aca="true" t="shared" si="8" ref="F45:F75">G45+H45</f>
        <v>244</v>
      </c>
      <c r="G45" s="9">
        <v>60</v>
      </c>
      <c r="H45" s="9">
        <v>184</v>
      </c>
      <c r="I45" s="9">
        <v>34</v>
      </c>
      <c r="J45" s="9">
        <v>6</v>
      </c>
      <c r="K45" s="9">
        <v>12</v>
      </c>
      <c r="M45" s="328"/>
      <c r="N45" s="328"/>
      <c r="O45" s="328"/>
      <c r="P45" s="328"/>
    </row>
    <row r="46" spans="1:16" s="327" customFormat="1" ht="23.25" customHeight="1">
      <c r="A46" s="59">
        <v>34</v>
      </c>
      <c r="B46" s="70" t="s">
        <v>386</v>
      </c>
      <c r="C46" s="725">
        <f t="shared" si="5"/>
        <v>507</v>
      </c>
      <c r="D46" s="537">
        <f t="shared" si="6"/>
        <v>169</v>
      </c>
      <c r="E46" s="353">
        <f t="shared" si="7"/>
        <v>338</v>
      </c>
      <c r="F46" s="331">
        <f t="shared" si="8"/>
        <v>325.5</v>
      </c>
      <c r="G46" s="331">
        <f>(H46/4)*2</f>
        <v>108.5</v>
      </c>
      <c r="H46" s="9">
        <v>217</v>
      </c>
      <c r="I46" s="9">
        <v>90</v>
      </c>
      <c r="J46" s="9">
        <v>15</v>
      </c>
      <c r="K46" s="9">
        <v>16</v>
      </c>
      <c r="M46" s="328"/>
      <c r="N46" s="328"/>
      <c r="O46" s="328"/>
      <c r="P46" s="328"/>
    </row>
    <row r="47" spans="1:16" s="327" customFormat="1" ht="23.25" customHeight="1">
      <c r="A47" s="59">
        <v>35</v>
      </c>
      <c r="B47" s="70" t="s">
        <v>387</v>
      </c>
      <c r="C47" s="725">
        <f t="shared" si="5"/>
        <v>1710</v>
      </c>
      <c r="D47" s="537">
        <f t="shared" si="6"/>
        <v>570</v>
      </c>
      <c r="E47" s="353">
        <f t="shared" si="7"/>
        <v>1140</v>
      </c>
      <c r="F47" s="331">
        <f t="shared" si="8"/>
        <v>1107</v>
      </c>
      <c r="G47" s="331">
        <f>(H47/4)*2</f>
        <v>369</v>
      </c>
      <c r="H47" s="9">
        <v>738</v>
      </c>
      <c r="I47" s="9">
        <v>319</v>
      </c>
      <c r="J47" s="9">
        <v>27</v>
      </c>
      <c r="K47" s="9">
        <v>56</v>
      </c>
      <c r="M47" s="328"/>
      <c r="N47" s="328"/>
      <c r="O47" s="328"/>
      <c r="P47" s="328"/>
    </row>
    <row r="48" spans="1:16" s="327" customFormat="1" ht="23.25" customHeight="1">
      <c r="A48" s="59">
        <v>36</v>
      </c>
      <c r="B48" s="341" t="s">
        <v>388</v>
      </c>
      <c r="C48" s="725">
        <f t="shared" si="5"/>
        <v>1018.5</v>
      </c>
      <c r="D48" s="537">
        <f t="shared" si="6"/>
        <v>339.5</v>
      </c>
      <c r="E48" s="353">
        <f t="shared" si="7"/>
        <v>679</v>
      </c>
      <c r="F48" s="331">
        <f t="shared" si="8"/>
        <v>589.5</v>
      </c>
      <c r="G48" s="331">
        <f>(H48/4)*2</f>
        <v>196.5</v>
      </c>
      <c r="H48" s="9">
        <v>393</v>
      </c>
      <c r="I48" s="9">
        <v>231</v>
      </c>
      <c r="J48" s="9">
        <v>9</v>
      </c>
      <c r="K48" s="9">
        <v>46</v>
      </c>
      <c r="M48" s="328"/>
      <c r="N48" s="328"/>
      <c r="O48" s="328"/>
      <c r="P48" s="328"/>
    </row>
    <row r="49" spans="1:16" s="327" customFormat="1" ht="23.25" customHeight="1">
      <c r="A49" s="59">
        <v>37</v>
      </c>
      <c r="B49" s="341" t="s">
        <v>389</v>
      </c>
      <c r="C49" s="725">
        <f t="shared" si="5"/>
        <v>573</v>
      </c>
      <c r="D49" s="537">
        <f t="shared" si="6"/>
        <v>191</v>
      </c>
      <c r="E49" s="353">
        <f t="shared" si="7"/>
        <v>382</v>
      </c>
      <c r="F49" s="331">
        <f t="shared" si="8"/>
        <v>414</v>
      </c>
      <c r="G49" s="9">
        <v>145</v>
      </c>
      <c r="H49" s="9">
        <v>269</v>
      </c>
      <c r="I49" s="9">
        <v>80</v>
      </c>
      <c r="J49" s="9">
        <v>2</v>
      </c>
      <c r="K49" s="9">
        <v>31</v>
      </c>
      <c r="M49" s="328"/>
      <c r="N49" s="328"/>
      <c r="O49" s="328"/>
      <c r="P49" s="328"/>
    </row>
    <row r="50" spans="1:16" s="327" customFormat="1" ht="23.25" customHeight="1">
      <c r="A50" s="59">
        <v>38</v>
      </c>
      <c r="B50" s="341" t="s">
        <v>390</v>
      </c>
      <c r="C50" s="725">
        <f t="shared" si="5"/>
        <v>2142</v>
      </c>
      <c r="D50" s="537">
        <f t="shared" si="6"/>
        <v>714</v>
      </c>
      <c r="E50" s="353">
        <f t="shared" si="7"/>
        <v>1428</v>
      </c>
      <c r="F50" s="331">
        <f t="shared" si="8"/>
        <v>1596</v>
      </c>
      <c r="G50" s="331">
        <f>(H50/4)*2</f>
        <v>532</v>
      </c>
      <c r="H50" s="9">
        <v>1064</v>
      </c>
      <c r="I50" s="9">
        <v>291</v>
      </c>
      <c r="J50" s="9">
        <v>21</v>
      </c>
      <c r="K50" s="9">
        <v>52</v>
      </c>
      <c r="M50" s="328"/>
      <c r="N50" s="328"/>
      <c r="O50" s="328"/>
      <c r="P50" s="328"/>
    </row>
    <row r="51" spans="1:16" s="327" customFormat="1" ht="23.25" customHeight="1">
      <c r="A51" s="59">
        <v>39</v>
      </c>
      <c r="B51" s="341" t="s">
        <v>391</v>
      </c>
      <c r="C51" s="725">
        <f t="shared" si="5"/>
        <v>1587</v>
      </c>
      <c r="D51" s="537">
        <f t="shared" si="6"/>
        <v>529</v>
      </c>
      <c r="E51" s="353">
        <f t="shared" si="7"/>
        <v>1058</v>
      </c>
      <c r="F51" s="331">
        <f t="shared" si="8"/>
        <v>1288</v>
      </c>
      <c r="G51" s="331">
        <v>429</v>
      </c>
      <c r="H51" s="9">
        <v>859</v>
      </c>
      <c r="I51" s="9">
        <v>150</v>
      </c>
      <c r="J51" s="9">
        <v>10</v>
      </c>
      <c r="K51" s="9">
        <v>39</v>
      </c>
      <c r="M51" s="328"/>
      <c r="N51" s="328"/>
      <c r="O51" s="328"/>
      <c r="P51" s="328"/>
    </row>
    <row r="52" spans="1:16" s="327" customFormat="1" ht="23.25" customHeight="1">
      <c r="A52" s="59">
        <v>40</v>
      </c>
      <c r="B52" s="341" t="s">
        <v>392</v>
      </c>
      <c r="C52" s="725">
        <f t="shared" si="5"/>
        <v>4446</v>
      </c>
      <c r="D52" s="537">
        <f t="shared" si="6"/>
        <v>1482</v>
      </c>
      <c r="E52" s="353">
        <f t="shared" si="7"/>
        <v>2964</v>
      </c>
      <c r="F52" s="331">
        <f t="shared" si="8"/>
        <v>3052.5</v>
      </c>
      <c r="G52" s="331">
        <f>(H52/4)*2</f>
        <v>1017.5</v>
      </c>
      <c r="H52" s="9">
        <v>2035</v>
      </c>
      <c r="I52" s="9">
        <v>799</v>
      </c>
      <c r="J52" s="9">
        <v>15</v>
      </c>
      <c r="K52" s="9">
        <v>115</v>
      </c>
      <c r="M52" s="328"/>
      <c r="N52" s="328"/>
      <c r="O52" s="328"/>
      <c r="P52" s="328"/>
    </row>
    <row r="53" spans="1:16" s="327" customFormat="1" ht="23.25" customHeight="1">
      <c r="A53" s="59">
        <v>41</v>
      </c>
      <c r="B53" s="341" t="s">
        <v>393</v>
      </c>
      <c r="C53" s="725">
        <f t="shared" si="5"/>
        <v>1128</v>
      </c>
      <c r="D53" s="537">
        <f t="shared" si="6"/>
        <v>376</v>
      </c>
      <c r="E53" s="353">
        <f t="shared" si="7"/>
        <v>752</v>
      </c>
      <c r="F53" s="331">
        <f t="shared" si="8"/>
        <v>759</v>
      </c>
      <c r="G53" s="331">
        <f>(H53/4)*2</f>
        <v>253</v>
      </c>
      <c r="H53" s="9">
        <v>506</v>
      </c>
      <c r="I53" s="9">
        <v>163</v>
      </c>
      <c r="J53" s="9">
        <v>8</v>
      </c>
      <c r="K53" s="9">
        <v>75</v>
      </c>
      <c r="M53" s="328"/>
      <c r="N53" s="328"/>
      <c r="O53" s="328"/>
      <c r="P53" s="328"/>
    </row>
    <row r="54" spans="1:16" s="327" customFormat="1" ht="23.25" customHeight="1">
      <c r="A54" s="59">
        <v>42</v>
      </c>
      <c r="B54" s="341" t="s">
        <v>394</v>
      </c>
      <c r="C54" s="725">
        <f t="shared" si="5"/>
        <v>288</v>
      </c>
      <c r="D54" s="537">
        <f t="shared" si="6"/>
        <v>96</v>
      </c>
      <c r="E54" s="353">
        <f t="shared" si="7"/>
        <v>192</v>
      </c>
      <c r="F54" s="331">
        <f t="shared" si="8"/>
        <v>156</v>
      </c>
      <c r="G54" s="331">
        <f>(H54/4)*2</f>
        <v>52</v>
      </c>
      <c r="H54" s="9">
        <v>104</v>
      </c>
      <c r="I54" s="9">
        <v>57</v>
      </c>
      <c r="J54" s="9">
        <v>5</v>
      </c>
      <c r="K54" s="9">
        <v>26</v>
      </c>
      <c r="M54" s="328"/>
      <c r="N54" s="328"/>
      <c r="O54" s="328"/>
      <c r="P54" s="328"/>
    </row>
    <row r="55" spans="1:16" s="327" customFormat="1" ht="23.25" customHeight="1">
      <c r="A55" s="59">
        <v>43</v>
      </c>
      <c r="B55" s="341" t="s">
        <v>395</v>
      </c>
      <c r="C55" s="725">
        <f t="shared" si="5"/>
        <v>2956.5</v>
      </c>
      <c r="D55" s="537">
        <f t="shared" si="6"/>
        <v>985.5</v>
      </c>
      <c r="E55" s="353">
        <f t="shared" si="7"/>
        <v>1971</v>
      </c>
      <c r="F55" s="331">
        <f t="shared" si="8"/>
        <v>1899</v>
      </c>
      <c r="G55" s="331">
        <f>(H55/4)*2</f>
        <v>633</v>
      </c>
      <c r="H55" s="9">
        <v>1266</v>
      </c>
      <c r="I55" s="9">
        <v>508</v>
      </c>
      <c r="J55" s="9">
        <v>24</v>
      </c>
      <c r="K55" s="9">
        <v>173</v>
      </c>
      <c r="M55" s="328"/>
      <c r="N55" s="328"/>
      <c r="O55" s="328"/>
      <c r="P55" s="328"/>
    </row>
    <row r="56" spans="1:16" s="327" customFormat="1" ht="23.25" customHeight="1">
      <c r="A56" s="59">
        <v>44</v>
      </c>
      <c r="B56" s="341" t="s">
        <v>396</v>
      </c>
      <c r="C56" s="725">
        <f t="shared" si="5"/>
        <v>901.5</v>
      </c>
      <c r="D56" s="537">
        <f t="shared" si="6"/>
        <v>300.5</v>
      </c>
      <c r="E56" s="353">
        <f t="shared" si="7"/>
        <v>601</v>
      </c>
      <c r="F56" s="331">
        <f t="shared" si="8"/>
        <v>437</v>
      </c>
      <c r="G56" s="9">
        <v>87</v>
      </c>
      <c r="H56" s="9">
        <v>350</v>
      </c>
      <c r="I56" s="9">
        <v>177</v>
      </c>
      <c r="J56" s="9">
        <v>15</v>
      </c>
      <c r="K56" s="9">
        <v>59</v>
      </c>
      <c r="L56" s="327" t="s">
        <v>4</v>
      </c>
      <c r="M56" s="328"/>
      <c r="N56" s="328"/>
      <c r="O56" s="328"/>
      <c r="P56" s="328"/>
    </row>
    <row r="57" spans="1:16" s="327" customFormat="1" ht="23.25" customHeight="1">
      <c r="A57" s="59">
        <v>45</v>
      </c>
      <c r="B57" s="342" t="s">
        <v>397</v>
      </c>
      <c r="C57" s="725">
        <f t="shared" si="5"/>
        <v>2164.5</v>
      </c>
      <c r="D57" s="537">
        <f t="shared" si="6"/>
        <v>721.5</v>
      </c>
      <c r="E57" s="625">
        <f t="shared" si="7"/>
        <v>1443</v>
      </c>
      <c r="F57" s="331">
        <f t="shared" si="8"/>
        <v>1848</v>
      </c>
      <c r="G57" s="331">
        <f>(H57/4)*2</f>
        <v>616</v>
      </c>
      <c r="H57" s="9">
        <v>1232</v>
      </c>
      <c r="I57" s="338">
        <f>39+77+48</f>
        <v>164</v>
      </c>
      <c r="J57" s="9">
        <v>2</v>
      </c>
      <c r="K57" s="9">
        <v>45</v>
      </c>
      <c r="L57" s="327" t="s">
        <v>43</v>
      </c>
      <c r="M57" s="328"/>
      <c r="N57" s="328"/>
      <c r="O57" s="328"/>
      <c r="P57" s="328"/>
    </row>
    <row r="58" spans="1:16" s="327" customFormat="1" ht="23.25" customHeight="1">
      <c r="A58" s="59">
        <v>46</v>
      </c>
      <c r="B58" s="342" t="s">
        <v>398</v>
      </c>
      <c r="C58" s="725">
        <f t="shared" si="5"/>
        <v>2308.5</v>
      </c>
      <c r="D58" s="537">
        <f t="shared" si="6"/>
        <v>769.5</v>
      </c>
      <c r="E58" s="353">
        <f t="shared" si="7"/>
        <v>1539</v>
      </c>
      <c r="F58" s="331">
        <f t="shared" si="8"/>
        <v>1734</v>
      </c>
      <c r="G58" s="331">
        <f>(H58/4)*2</f>
        <v>578</v>
      </c>
      <c r="H58" s="9">
        <v>1156</v>
      </c>
      <c r="I58" s="9">
        <v>227</v>
      </c>
      <c r="J58" s="9">
        <v>24</v>
      </c>
      <c r="K58" s="9">
        <v>132</v>
      </c>
      <c r="M58" s="328"/>
      <c r="N58" s="328"/>
      <c r="O58" s="328"/>
      <c r="P58" s="328"/>
    </row>
    <row r="59" spans="1:16" s="327" customFormat="1" ht="23.25" customHeight="1">
      <c r="A59" s="59">
        <v>47</v>
      </c>
      <c r="B59" s="342" t="s">
        <v>399</v>
      </c>
      <c r="C59" s="725">
        <f t="shared" si="5"/>
        <v>2149.5</v>
      </c>
      <c r="D59" s="537">
        <f t="shared" si="6"/>
        <v>716.5</v>
      </c>
      <c r="E59" s="353">
        <f t="shared" si="7"/>
        <v>1433</v>
      </c>
      <c r="F59" s="331">
        <f t="shared" si="8"/>
        <v>1549</v>
      </c>
      <c r="G59" s="331">
        <v>516</v>
      </c>
      <c r="H59" s="9">
        <v>1033</v>
      </c>
      <c r="I59" s="9">
        <v>253</v>
      </c>
      <c r="J59" s="9">
        <v>58</v>
      </c>
      <c r="K59" s="9">
        <v>89</v>
      </c>
      <c r="M59" s="328"/>
      <c r="N59" s="328"/>
      <c r="O59" s="328"/>
      <c r="P59" s="328"/>
    </row>
    <row r="60" spans="1:16" s="327" customFormat="1" ht="23.25" customHeight="1">
      <c r="A60" s="59">
        <v>48</v>
      </c>
      <c r="B60" s="342" t="s">
        <v>400</v>
      </c>
      <c r="C60" s="725">
        <f t="shared" si="5"/>
        <v>1750.5</v>
      </c>
      <c r="D60" s="537">
        <f t="shared" si="6"/>
        <v>583.5</v>
      </c>
      <c r="E60" s="353">
        <f t="shared" si="7"/>
        <v>1167</v>
      </c>
      <c r="F60" s="331">
        <f t="shared" si="8"/>
        <v>1010</v>
      </c>
      <c r="G60" s="9">
        <v>80</v>
      </c>
      <c r="H60" s="9">
        <v>930</v>
      </c>
      <c r="I60" s="9">
        <v>188</v>
      </c>
      <c r="J60" s="9">
        <v>7</v>
      </c>
      <c r="K60" s="9">
        <v>42</v>
      </c>
      <c r="M60" s="328"/>
      <c r="N60" s="328"/>
      <c r="O60" s="328"/>
      <c r="P60" s="328"/>
    </row>
    <row r="61" spans="1:16" s="327" customFormat="1" ht="23.25" customHeight="1">
      <c r="A61" s="59">
        <v>49</v>
      </c>
      <c r="B61" s="342" t="s">
        <v>401</v>
      </c>
      <c r="C61" s="725">
        <f t="shared" si="5"/>
        <v>865.5</v>
      </c>
      <c r="D61" s="537">
        <f t="shared" si="6"/>
        <v>288.5</v>
      </c>
      <c r="E61" s="353">
        <f t="shared" si="7"/>
        <v>577</v>
      </c>
      <c r="F61" s="331">
        <f t="shared" si="8"/>
        <v>730</v>
      </c>
      <c r="G61" s="331">
        <v>243</v>
      </c>
      <c r="H61" s="9">
        <v>487</v>
      </c>
      <c r="I61" s="9">
        <v>48</v>
      </c>
      <c r="J61" s="9">
        <v>1</v>
      </c>
      <c r="K61" s="9">
        <v>41</v>
      </c>
      <c r="M61" s="328"/>
      <c r="N61" s="328"/>
      <c r="O61" s="328"/>
      <c r="P61" s="328"/>
    </row>
    <row r="62" spans="1:16" s="327" customFormat="1" ht="23.25" customHeight="1">
      <c r="A62" s="59">
        <v>50</v>
      </c>
      <c r="B62" s="342" t="s">
        <v>402</v>
      </c>
      <c r="C62" s="725">
        <f t="shared" si="5"/>
        <v>1921.5</v>
      </c>
      <c r="D62" s="537">
        <f t="shared" si="6"/>
        <v>640.5</v>
      </c>
      <c r="E62" s="353">
        <f t="shared" si="7"/>
        <v>1281</v>
      </c>
      <c r="F62" s="331">
        <f t="shared" si="8"/>
        <v>1629</v>
      </c>
      <c r="G62" s="331">
        <f>(H62/4)*2</f>
        <v>543</v>
      </c>
      <c r="H62" s="9">
        <v>1086</v>
      </c>
      <c r="I62" s="9">
        <v>47</v>
      </c>
      <c r="J62" s="9">
        <v>79</v>
      </c>
      <c r="K62" s="9">
        <v>69</v>
      </c>
      <c r="M62" s="328"/>
      <c r="N62" s="328"/>
      <c r="O62" s="328"/>
      <c r="P62" s="328"/>
    </row>
    <row r="63" spans="1:16" s="327" customFormat="1" ht="23.25" customHeight="1">
      <c r="A63" s="59">
        <v>51</v>
      </c>
      <c r="B63" s="343" t="s">
        <v>403</v>
      </c>
      <c r="C63" s="725">
        <f t="shared" si="5"/>
        <v>1414.5</v>
      </c>
      <c r="D63" s="537">
        <f t="shared" si="6"/>
        <v>471.5</v>
      </c>
      <c r="E63" s="353">
        <f t="shared" si="7"/>
        <v>943</v>
      </c>
      <c r="F63" s="331">
        <f t="shared" si="8"/>
        <v>1236</v>
      </c>
      <c r="G63" s="280">
        <f>(H63/4)*2</f>
        <v>412</v>
      </c>
      <c r="H63" s="9">
        <v>824</v>
      </c>
      <c r="I63" s="9">
        <v>100</v>
      </c>
      <c r="J63" s="9">
        <v>2</v>
      </c>
      <c r="K63" s="9">
        <v>17</v>
      </c>
      <c r="L63" s="327" t="s">
        <v>44</v>
      </c>
      <c r="M63" s="328"/>
      <c r="N63" s="328"/>
      <c r="O63" s="328"/>
      <c r="P63" s="328"/>
    </row>
    <row r="64" spans="1:16" s="327" customFormat="1" ht="23.25" customHeight="1">
      <c r="A64" s="59">
        <v>52</v>
      </c>
      <c r="B64" s="343" t="s">
        <v>404</v>
      </c>
      <c r="C64" s="725">
        <f t="shared" si="5"/>
        <v>1386</v>
      </c>
      <c r="D64" s="537">
        <f t="shared" si="6"/>
        <v>462</v>
      </c>
      <c r="E64" s="353">
        <f t="shared" si="7"/>
        <v>924</v>
      </c>
      <c r="F64" s="331">
        <f t="shared" si="8"/>
        <v>948</v>
      </c>
      <c r="G64" s="9">
        <v>289</v>
      </c>
      <c r="H64" s="9">
        <v>659</v>
      </c>
      <c r="I64" s="9">
        <v>214</v>
      </c>
      <c r="J64" s="9">
        <v>20</v>
      </c>
      <c r="K64" s="9">
        <v>31</v>
      </c>
      <c r="M64" s="328"/>
      <c r="N64" s="328"/>
      <c r="O64" s="328"/>
      <c r="P64" s="328"/>
    </row>
    <row r="65" spans="1:16" s="327" customFormat="1" ht="23.25" customHeight="1">
      <c r="A65" s="59">
        <v>53</v>
      </c>
      <c r="B65" s="343" t="s">
        <v>405</v>
      </c>
      <c r="C65" s="725">
        <f t="shared" si="5"/>
        <v>4563</v>
      </c>
      <c r="D65" s="537">
        <f t="shared" si="6"/>
        <v>1521</v>
      </c>
      <c r="E65" s="353">
        <f t="shared" si="7"/>
        <v>3042</v>
      </c>
      <c r="F65" s="331">
        <f t="shared" si="8"/>
        <v>3775</v>
      </c>
      <c r="G65" s="9">
        <v>1300</v>
      </c>
      <c r="H65" s="9">
        <v>2475</v>
      </c>
      <c r="I65" s="9">
        <v>437</v>
      </c>
      <c r="J65" s="9">
        <v>8</v>
      </c>
      <c r="K65" s="9">
        <v>122</v>
      </c>
      <c r="M65" s="328"/>
      <c r="N65" s="328"/>
      <c r="O65" s="328"/>
      <c r="P65" s="328"/>
    </row>
    <row r="66" spans="1:16" s="327" customFormat="1" ht="23.25" customHeight="1">
      <c r="A66" s="59">
        <v>54</v>
      </c>
      <c r="B66" s="343" t="s">
        <v>406</v>
      </c>
      <c r="C66" s="725">
        <f t="shared" si="5"/>
        <v>2242.5</v>
      </c>
      <c r="D66" s="537">
        <f t="shared" si="6"/>
        <v>747.5</v>
      </c>
      <c r="E66" s="353">
        <f t="shared" si="7"/>
        <v>1495</v>
      </c>
      <c r="F66" s="331">
        <f t="shared" si="8"/>
        <v>1549.5</v>
      </c>
      <c r="G66" s="280">
        <f>(H66/4)*2</f>
        <v>516.5</v>
      </c>
      <c r="H66" s="9">
        <v>1033</v>
      </c>
      <c r="I66" s="9">
        <v>393</v>
      </c>
      <c r="J66" s="9">
        <v>32</v>
      </c>
      <c r="K66" s="9">
        <v>37</v>
      </c>
      <c r="L66" s="327" t="s">
        <v>45</v>
      </c>
      <c r="M66" s="328"/>
      <c r="N66" s="328"/>
      <c r="O66" s="328"/>
      <c r="P66" s="328"/>
    </row>
    <row r="67" spans="1:16" s="327" customFormat="1" ht="23.25" customHeight="1">
      <c r="A67" s="59">
        <v>55</v>
      </c>
      <c r="B67" s="343" t="s">
        <v>407</v>
      </c>
      <c r="C67" s="725">
        <f t="shared" si="5"/>
        <v>6841.5</v>
      </c>
      <c r="D67" s="537">
        <f t="shared" si="6"/>
        <v>2280.5</v>
      </c>
      <c r="E67" s="625">
        <f t="shared" si="7"/>
        <v>4561</v>
      </c>
      <c r="F67" s="331">
        <f t="shared" si="8"/>
        <v>5275</v>
      </c>
      <c r="G67" s="9">
        <v>1500</v>
      </c>
      <c r="H67" s="9">
        <v>3775</v>
      </c>
      <c r="I67" s="338">
        <v>614</v>
      </c>
      <c r="J67" s="9">
        <v>32</v>
      </c>
      <c r="K67" s="9">
        <v>140</v>
      </c>
      <c r="L67" s="327" t="s">
        <v>46</v>
      </c>
      <c r="M67" s="328"/>
      <c r="N67" s="328"/>
      <c r="O67" s="328"/>
      <c r="P67" s="328"/>
    </row>
    <row r="68" spans="1:16" s="327" customFormat="1" ht="23.25" customHeight="1">
      <c r="A68" s="59">
        <v>56</v>
      </c>
      <c r="B68" s="343" t="s">
        <v>408</v>
      </c>
      <c r="C68" s="725">
        <f t="shared" si="5"/>
        <v>1284</v>
      </c>
      <c r="D68" s="537">
        <f t="shared" si="6"/>
        <v>428</v>
      </c>
      <c r="E68" s="353">
        <f t="shared" si="7"/>
        <v>856</v>
      </c>
      <c r="F68" s="331">
        <f t="shared" si="8"/>
        <v>997.5</v>
      </c>
      <c r="G68" s="331">
        <f>(H68/4)*2</f>
        <v>332.5</v>
      </c>
      <c r="H68" s="9">
        <v>665</v>
      </c>
      <c r="I68" s="9">
        <v>145</v>
      </c>
      <c r="J68" s="9">
        <v>4</v>
      </c>
      <c r="K68" s="9">
        <v>42</v>
      </c>
      <c r="M68" s="328"/>
      <c r="N68" s="328"/>
      <c r="O68" s="328"/>
      <c r="P68" s="328"/>
    </row>
    <row r="69" spans="1:16" s="327" customFormat="1" ht="23.25" customHeight="1">
      <c r="A69" s="59">
        <v>57</v>
      </c>
      <c r="B69" s="343" t="s">
        <v>409</v>
      </c>
      <c r="C69" s="725">
        <f t="shared" si="5"/>
        <v>1557</v>
      </c>
      <c r="D69" s="537">
        <f t="shared" si="6"/>
        <v>519</v>
      </c>
      <c r="E69" s="353">
        <f t="shared" si="7"/>
        <v>1038</v>
      </c>
      <c r="F69" s="331">
        <f t="shared" si="8"/>
        <v>874</v>
      </c>
      <c r="G69" s="9">
        <v>150</v>
      </c>
      <c r="H69" s="9">
        <v>724</v>
      </c>
      <c r="I69" s="9">
        <v>275</v>
      </c>
      <c r="J69" s="9">
        <v>20</v>
      </c>
      <c r="K69" s="9">
        <v>19</v>
      </c>
      <c r="L69" s="327" t="s">
        <v>47</v>
      </c>
      <c r="M69" s="328"/>
      <c r="N69" s="328"/>
      <c r="O69" s="328"/>
      <c r="P69" s="328"/>
    </row>
    <row r="70" spans="1:16" s="327" customFormat="1" ht="23.25" customHeight="1">
      <c r="A70" s="59">
        <v>58</v>
      </c>
      <c r="B70" s="343" t="s">
        <v>410</v>
      </c>
      <c r="C70" s="725">
        <f t="shared" si="5"/>
        <v>3186</v>
      </c>
      <c r="D70" s="537">
        <f t="shared" si="6"/>
        <v>1062</v>
      </c>
      <c r="E70" s="353">
        <f t="shared" si="7"/>
        <v>2124</v>
      </c>
      <c r="F70" s="331">
        <f t="shared" si="8"/>
        <v>1802</v>
      </c>
      <c r="G70" s="9">
        <v>504</v>
      </c>
      <c r="H70" s="9">
        <v>1298</v>
      </c>
      <c r="I70" s="9">
        <v>664</v>
      </c>
      <c r="J70" s="9">
        <v>26</v>
      </c>
      <c r="K70" s="9">
        <v>136</v>
      </c>
      <c r="M70" s="328"/>
      <c r="N70" s="328"/>
      <c r="O70" s="328"/>
      <c r="P70" s="328"/>
    </row>
    <row r="71" spans="1:16" s="327" customFormat="1" ht="23.25" customHeight="1">
      <c r="A71" s="59">
        <v>59</v>
      </c>
      <c r="B71" s="343" t="s">
        <v>411</v>
      </c>
      <c r="C71" s="725">
        <f t="shared" si="5"/>
        <v>1905</v>
      </c>
      <c r="D71" s="537">
        <f t="shared" si="6"/>
        <v>635</v>
      </c>
      <c r="E71" s="353">
        <f t="shared" si="7"/>
        <v>1270</v>
      </c>
      <c r="F71" s="331">
        <f t="shared" si="8"/>
        <v>984</v>
      </c>
      <c r="G71" s="331">
        <f>(H71/4)*2</f>
        <v>328</v>
      </c>
      <c r="H71" s="9">
        <v>656</v>
      </c>
      <c r="I71" s="9">
        <v>415</v>
      </c>
      <c r="J71" s="9">
        <v>52</v>
      </c>
      <c r="K71" s="9">
        <v>147</v>
      </c>
      <c r="M71" s="328"/>
      <c r="N71" s="328"/>
      <c r="O71" s="328"/>
      <c r="P71" s="328"/>
    </row>
    <row r="72" spans="1:16" s="327" customFormat="1" ht="23.25" customHeight="1">
      <c r="A72" s="59">
        <v>60</v>
      </c>
      <c r="B72" s="343" t="s">
        <v>412</v>
      </c>
      <c r="C72" s="725">
        <f t="shared" si="5"/>
        <v>2041.5</v>
      </c>
      <c r="D72" s="537">
        <f t="shared" si="6"/>
        <v>680.5</v>
      </c>
      <c r="E72" s="353">
        <f t="shared" si="7"/>
        <v>1361</v>
      </c>
      <c r="F72" s="331">
        <f t="shared" si="8"/>
        <v>1615</v>
      </c>
      <c r="G72" s="331">
        <v>538</v>
      </c>
      <c r="H72" s="9">
        <v>1077</v>
      </c>
      <c r="I72" s="9">
        <v>206</v>
      </c>
      <c r="J72" s="9">
        <v>4</v>
      </c>
      <c r="K72" s="9">
        <v>74</v>
      </c>
      <c r="M72" s="328"/>
      <c r="N72" s="328"/>
      <c r="O72" s="328"/>
      <c r="P72" s="328"/>
    </row>
    <row r="73" spans="1:16" s="327" customFormat="1" ht="23.25" customHeight="1">
      <c r="A73" s="59">
        <v>61</v>
      </c>
      <c r="B73" s="343" t="s">
        <v>413</v>
      </c>
      <c r="C73" s="725">
        <f t="shared" si="5"/>
        <v>1131</v>
      </c>
      <c r="D73" s="537">
        <f t="shared" si="6"/>
        <v>377</v>
      </c>
      <c r="E73" s="353">
        <f t="shared" si="7"/>
        <v>754</v>
      </c>
      <c r="F73" s="331">
        <f t="shared" si="8"/>
        <v>970.5</v>
      </c>
      <c r="G73" s="280">
        <f>(H73/4)*2</f>
        <v>323.5</v>
      </c>
      <c r="H73" s="9">
        <v>647</v>
      </c>
      <c r="I73" s="9">
        <v>90</v>
      </c>
      <c r="J73" s="9">
        <v>7</v>
      </c>
      <c r="K73" s="9">
        <v>10</v>
      </c>
      <c r="L73" s="327" t="s">
        <v>48</v>
      </c>
      <c r="M73" s="328"/>
      <c r="N73" s="328"/>
      <c r="O73" s="328"/>
      <c r="P73" s="328"/>
    </row>
    <row r="74" spans="1:16" s="327" customFormat="1" ht="23.25" customHeight="1">
      <c r="A74" s="59">
        <v>62</v>
      </c>
      <c r="B74" s="343" t="s">
        <v>414</v>
      </c>
      <c r="C74" s="725">
        <f t="shared" si="5"/>
        <v>2046</v>
      </c>
      <c r="D74" s="537">
        <f t="shared" si="6"/>
        <v>682</v>
      </c>
      <c r="E74" s="353">
        <f t="shared" si="7"/>
        <v>1364</v>
      </c>
      <c r="F74" s="331">
        <f t="shared" si="8"/>
        <v>1497</v>
      </c>
      <c r="G74" s="331">
        <f>(H74/4)*2</f>
        <v>499</v>
      </c>
      <c r="H74" s="9">
        <v>998</v>
      </c>
      <c r="I74" s="9">
        <v>266</v>
      </c>
      <c r="J74" s="9">
        <v>16</v>
      </c>
      <c r="K74" s="9">
        <v>84</v>
      </c>
      <c r="M74" s="328"/>
      <c r="N74" s="328"/>
      <c r="O74" s="328"/>
      <c r="P74" s="328"/>
    </row>
    <row r="75" spans="1:16" s="327" customFormat="1" ht="23.25" customHeight="1">
      <c r="A75" s="59">
        <v>63</v>
      </c>
      <c r="B75" s="344" t="s">
        <v>415</v>
      </c>
      <c r="C75" s="725">
        <f t="shared" si="5"/>
        <v>2166</v>
      </c>
      <c r="D75" s="537">
        <f t="shared" si="6"/>
        <v>722</v>
      </c>
      <c r="E75" s="767">
        <f t="shared" si="7"/>
        <v>1444</v>
      </c>
      <c r="F75" s="331">
        <f t="shared" si="8"/>
        <v>1343</v>
      </c>
      <c r="G75" s="9">
        <v>100</v>
      </c>
      <c r="H75" s="9">
        <v>1243</v>
      </c>
      <c r="I75" s="9">
        <v>114</v>
      </c>
      <c r="J75" s="9">
        <v>4</v>
      </c>
      <c r="K75" s="766">
        <v>83</v>
      </c>
      <c r="M75" s="328"/>
      <c r="N75" s="328"/>
      <c r="O75" s="328"/>
      <c r="P75" s="328"/>
    </row>
    <row r="77" spans="1:14" s="89" customFormat="1" ht="18" customHeight="1">
      <c r="A77" s="50"/>
      <c r="B77" s="50" t="s">
        <v>342</v>
      </c>
      <c r="C77" s="56" t="s">
        <v>505</v>
      </c>
      <c r="D77" s="56"/>
      <c r="E77" s="56"/>
      <c r="F77" s="56"/>
      <c r="G77" s="56"/>
      <c r="H77" s="56"/>
      <c r="I77" s="50"/>
      <c r="J77" s="50"/>
      <c r="K77" s="50"/>
      <c r="L77" s="50"/>
      <c r="M77" s="88"/>
      <c r="N77" s="88"/>
    </row>
    <row r="78" spans="1:12" s="87" customFormat="1" ht="18" customHeight="1">
      <c r="A78" s="50"/>
      <c r="B78" s="50" t="s">
        <v>343</v>
      </c>
      <c r="C78" s="50" t="s">
        <v>344</v>
      </c>
      <c r="D78" s="50"/>
      <c r="E78" s="50"/>
      <c r="G78" s="50"/>
      <c r="H78" s="50"/>
      <c r="I78" s="50"/>
      <c r="J78" s="50"/>
      <c r="K78" s="50"/>
      <c r="L78" s="50"/>
    </row>
    <row r="79" spans="1:12" s="87" customFormat="1" ht="18" customHeight="1">
      <c r="A79" s="50"/>
      <c r="B79" s="50" t="s">
        <v>345</v>
      </c>
      <c r="C79" s="50" t="s">
        <v>346</v>
      </c>
      <c r="D79" s="50"/>
      <c r="E79" s="50"/>
      <c r="G79" s="50"/>
      <c r="H79" s="50"/>
      <c r="I79" s="50"/>
      <c r="J79" s="50"/>
      <c r="K79" s="50"/>
      <c r="L79" s="50"/>
    </row>
    <row r="80" spans="1:22" s="22" customFormat="1" ht="15.75">
      <c r="A80"/>
      <c r="B80" s="142"/>
      <c r="C80" s="120" t="s">
        <v>493</v>
      </c>
      <c r="D80" s="120"/>
      <c r="E80" s="120"/>
      <c r="F80" s="13"/>
      <c r="G80"/>
      <c r="H80"/>
      <c r="I80"/>
      <c r="J80"/>
      <c r="K80"/>
      <c r="L80"/>
      <c r="M80"/>
      <c r="N80"/>
      <c r="O80"/>
      <c r="P80"/>
      <c r="Q80"/>
      <c r="R80"/>
      <c r="S80"/>
      <c r="T80"/>
      <c r="U80"/>
      <c r="V80" s="13"/>
    </row>
    <row r="81" spans="1:22" s="22" customFormat="1" ht="15.75">
      <c r="A81"/>
      <c r="B81" s="90"/>
      <c r="C81" s="50" t="s">
        <v>430</v>
      </c>
      <c r="D81" s="50"/>
      <c r="E81" s="50"/>
      <c r="F81" s="13"/>
      <c r="G81"/>
      <c r="H81"/>
      <c r="I81"/>
      <c r="J81"/>
      <c r="K81"/>
      <c r="L81"/>
      <c r="M81"/>
      <c r="N81"/>
      <c r="O81"/>
      <c r="P81"/>
      <c r="Q81"/>
      <c r="R81"/>
      <c r="S81"/>
      <c r="T81"/>
      <c r="U81"/>
      <c r="V81" s="13"/>
    </row>
    <row r="82" spans="1:22" s="22" customFormat="1" ht="15.75">
      <c r="A82"/>
      <c r="B82" s="91"/>
      <c r="C82" s="50" t="s">
        <v>429</v>
      </c>
      <c r="D82" s="50"/>
      <c r="E82" s="50"/>
      <c r="F82" s="13"/>
      <c r="G82"/>
      <c r="H82"/>
      <c r="I82"/>
      <c r="J82"/>
      <c r="K82"/>
      <c r="L82"/>
      <c r="M82"/>
      <c r="N82"/>
      <c r="O82"/>
      <c r="P82"/>
      <c r="Q82"/>
      <c r="R82"/>
      <c r="S82"/>
      <c r="T82"/>
      <c r="U82"/>
      <c r="V82" s="13"/>
    </row>
    <row r="83" spans="1:22" s="38" customFormat="1" ht="15.75">
      <c r="A83"/>
      <c r="B83" s="143"/>
      <c r="C83" s="86" t="s">
        <v>495</v>
      </c>
      <c r="D83" s="86"/>
      <c r="E83" s="86"/>
      <c r="F83" s="13"/>
      <c r="G83"/>
      <c r="H83"/>
      <c r="I83"/>
      <c r="J83"/>
      <c r="K83"/>
      <c r="L83"/>
      <c r="M83"/>
      <c r="N83"/>
      <c r="O83"/>
      <c r="P83"/>
      <c r="Q83"/>
      <c r="R83"/>
      <c r="S83"/>
      <c r="T83"/>
      <c r="U83"/>
      <c r="V83" s="13"/>
    </row>
    <row r="84" spans="1:26" s="17" customFormat="1" ht="15.75">
      <c r="A84" s="24"/>
      <c r="B84" s="764"/>
      <c r="C84" s="765" t="s">
        <v>312</v>
      </c>
      <c r="D84" s="41"/>
      <c r="E84" s="41"/>
      <c r="F84" s="41"/>
      <c r="G84" s="392"/>
      <c r="H84" s="392"/>
      <c r="I84" s="392"/>
      <c r="J84" s="392"/>
      <c r="K84" s="392"/>
      <c r="L84" s="392"/>
      <c r="M84" s="392"/>
      <c r="N84" s="392"/>
      <c r="O84" s="392"/>
      <c r="P84" s="392"/>
      <c r="Q84" s="392"/>
      <c r="R84" s="392"/>
      <c r="S84" s="392"/>
      <c r="T84" s="392"/>
      <c r="U84" s="254"/>
      <c r="V84" s="254"/>
      <c r="W84" s="254"/>
      <c r="X84" s="254"/>
      <c r="Y84" s="254"/>
      <c r="Z84" s="254"/>
    </row>
    <row r="85" spans="1:26" s="17" customFormat="1" ht="15.75">
      <c r="A85" s="24"/>
      <c r="B85" s="25"/>
      <c r="C85" s="41"/>
      <c r="D85" s="41"/>
      <c r="E85" s="41"/>
      <c r="F85" s="41"/>
      <c r="G85" s="392"/>
      <c r="H85" s="392"/>
      <c r="I85" s="392"/>
      <c r="J85" s="392"/>
      <c r="K85" s="392"/>
      <c r="L85" s="392"/>
      <c r="M85" s="392"/>
      <c r="N85" s="392"/>
      <c r="O85" s="392"/>
      <c r="P85" s="392"/>
      <c r="Q85" s="392"/>
      <c r="R85" s="392"/>
      <c r="S85" s="392"/>
      <c r="T85" s="392"/>
      <c r="U85" s="254"/>
      <c r="V85" s="254"/>
      <c r="W85" s="254"/>
      <c r="X85" s="254"/>
      <c r="Y85" s="254"/>
      <c r="Z85" s="254"/>
    </row>
    <row r="86" spans="1:26" s="17" customFormat="1" ht="15.75">
      <c r="A86" s="24"/>
      <c r="B86" s="25"/>
      <c r="C86" s="41"/>
      <c r="D86" s="41"/>
      <c r="E86" s="41"/>
      <c r="F86" s="41"/>
      <c r="G86" s="392"/>
      <c r="H86" s="392"/>
      <c r="I86" s="392"/>
      <c r="J86" s="392"/>
      <c r="K86" s="392"/>
      <c r="L86" s="392"/>
      <c r="M86" s="392"/>
      <c r="N86" s="392"/>
      <c r="O86" s="392"/>
      <c r="P86" s="392"/>
      <c r="Q86" s="392"/>
      <c r="R86" s="392"/>
      <c r="S86" s="392"/>
      <c r="T86" s="392"/>
      <c r="U86" s="254"/>
      <c r="V86" s="254"/>
      <c r="W86" s="254"/>
      <c r="X86" s="254"/>
      <c r="Y86" s="254"/>
      <c r="Z86" s="254"/>
    </row>
    <row r="87" spans="1:26" s="17" customFormat="1" ht="15.75">
      <c r="A87" s="24"/>
      <c r="B87" s="25"/>
      <c r="C87" s="41"/>
      <c r="D87" s="41"/>
      <c r="E87" s="41"/>
      <c r="F87" s="41"/>
      <c r="G87" s="392"/>
      <c r="H87" s="392"/>
      <c r="I87" s="392"/>
      <c r="J87" s="392"/>
      <c r="K87" s="392"/>
      <c r="L87" s="392"/>
      <c r="M87" s="392"/>
      <c r="N87" s="392"/>
      <c r="O87" s="392"/>
      <c r="P87" s="392"/>
      <c r="Q87" s="392"/>
      <c r="R87" s="392"/>
      <c r="S87" s="392"/>
      <c r="T87" s="392"/>
      <c r="U87" s="254"/>
      <c r="V87" s="254"/>
      <c r="W87" s="254"/>
      <c r="X87" s="254"/>
      <c r="Y87" s="254"/>
      <c r="Z87" s="254"/>
    </row>
  </sheetData>
  <sheetProtection/>
  <mergeCells count="19">
    <mergeCell ref="F7:K7"/>
    <mergeCell ref="A2:K2"/>
    <mergeCell ref="A3:K3"/>
    <mergeCell ref="A4:K4"/>
    <mergeCell ref="J6:K6"/>
    <mergeCell ref="A7:B10"/>
    <mergeCell ref="C7:E7"/>
    <mergeCell ref="D8:E8"/>
    <mergeCell ref="D9:D10"/>
    <mergeCell ref="A12:B12"/>
    <mergeCell ref="A11:B11"/>
    <mergeCell ref="K8:K10"/>
    <mergeCell ref="G9:H9"/>
    <mergeCell ref="F9:F10"/>
    <mergeCell ref="F8:H8"/>
    <mergeCell ref="I8:I10"/>
    <mergeCell ref="J8:J10"/>
    <mergeCell ref="C8:C10"/>
    <mergeCell ref="E9:E10"/>
  </mergeCells>
  <printOptions/>
  <pageMargins left="0.5" right="0.25" top="0.25" bottom="0.25" header="0.5" footer="0.5"/>
  <pageSetup horizontalDpi="600" verticalDpi="600" orientation="landscape" paperSize="9" r:id="rId2"/>
  <drawing r:id="rId1"/>
</worksheet>
</file>

<file path=xl/worksheets/sheet9.xml><?xml version="1.0" encoding="utf-8"?>
<worksheet xmlns="http://schemas.openxmlformats.org/spreadsheetml/2006/main" xmlns:r="http://schemas.openxmlformats.org/officeDocument/2006/relationships">
  <sheetPr>
    <tabColor theme="9" tint="-0.24997000396251678"/>
  </sheetPr>
  <dimension ref="A1:AE86"/>
  <sheetViews>
    <sheetView zoomScalePageLayoutView="0" workbookViewId="0" topLeftCell="A1">
      <pane ySplit="5370" topLeftCell="A56" activePane="bottomLeft" state="split"/>
      <selection pane="topLeft" activeCell="C1" sqref="C1:D16384"/>
      <selection pane="bottomLeft" activeCell="A69" sqref="A69"/>
    </sheetView>
  </sheetViews>
  <sheetFormatPr defaultColWidth="9.140625" defaultRowHeight="12.75"/>
  <cols>
    <col min="1" max="1" width="3.8515625" style="0" customWidth="1"/>
    <col min="2" max="2" width="20.421875" style="0" customWidth="1"/>
    <col min="3" max="3" width="12.28125" style="254" customWidth="1"/>
    <col min="4" max="4" width="10.7109375" style="254" customWidth="1"/>
    <col min="5" max="5" width="10.7109375" style="254" hidden="1" customWidth="1"/>
    <col min="6" max="6" width="9.7109375" style="254" customWidth="1"/>
    <col min="7" max="7" width="9.421875" style="254" customWidth="1"/>
    <col min="8" max="8" width="8.7109375" style="254" customWidth="1"/>
    <col min="9" max="9" width="8.421875" style="254" hidden="1" customWidth="1"/>
    <col min="10" max="10" width="9.57421875" style="254" customWidth="1"/>
    <col min="11" max="11" width="10.00390625" style="255" hidden="1" customWidth="1"/>
    <col min="12" max="12" width="10.00390625" style="254" hidden="1" customWidth="1"/>
    <col min="13" max="13" width="7.8515625" style="254" customWidth="1"/>
    <col min="14" max="14" width="7.00390625" style="254" bestFit="1" customWidth="1"/>
    <col min="15" max="15" width="6.8515625" style="254" hidden="1" customWidth="1"/>
    <col min="16" max="16" width="7.421875" style="254" bestFit="1" customWidth="1"/>
    <col min="17" max="17" width="9.421875" style="255" hidden="1" customWidth="1"/>
    <col min="18" max="18" width="9.8515625" style="254" hidden="1" customWidth="1"/>
    <col min="19" max="19" width="11.140625" style="254" bestFit="1" customWidth="1"/>
    <col min="20" max="20" width="11.28125" style="254" bestFit="1" customWidth="1"/>
    <col min="21" max="21" width="8.7109375" style="254" hidden="1" customWidth="1"/>
    <col min="22" max="22" width="11.00390625" style="254" bestFit="1" customWidth="1"/>
    <col min="23" max="23" width="7.8515625" style="254" customWidth="1"/>
    <col min="24" max="24" width="7.28125" style="254" bestFit="1" customWidth="1"/>
    <col min="25" max="25" width="7.28125" style="254" hidden="1" customWidth="1"/>
    <col min="26" max="26" width="7.421875" style="254" bestFit="1" customWidth="1"/>
    <col min="27" max="27" width="7.8515625" style="254" customWidth="1"/>
    <col min="28" max="28" width="7.00390625" style="254" bestFit="1" customWidth="1"/>
    <col min="29" max="29" width="6.00390625" style="254" hidden="1" customWidth="1"/>
    <col min="30" max="30" width="7.421875" style="254" bestFit="1" customWidth="1"/>
  </cols>
  <sheetData>
    <row r="1" spans="1:30" ht="18.75">
      <c r="A1" s="215" t="s">
        <v>318</v>
      </c>
      <c r="B1" s="215"/>
      <c r="C1" s="216"/>
      <c r="D1" s="216"/>
      <c r="E1" s="216"/>
      <c r="F1" s="216"/>
      <c r="G1" s="216"/>
      <c r="H1" s="216"/>
      <c r="I1" s="216"/>
      <c r="J1" s="217"/>
      <c r="K1" s="218"/>
      <c r="L1" s="217"/>
      <c r="M1" s="217"/>
      <c r="N1" s="217"/>
      <c r="O1" s="217"/>
      <c r="P1" s="217"/>
      <c r="Q1" s="218"/>
      <c r="R1" s="217"/>
      <c r="S1" s="217"/>
      <c r="T1" s="217"/>
      <c r="U1" s="217"/>
      <c r="V1" s="217"/>
      <c r="W1" s="217"/>
      <c r="X1" s="217"/>
      <c r="Y1" s="217"/>
      <c r="Z1" s="217"/>
      <c r="AA1" s="217"/>
      <c r="AB1" s="217"/>
      <c r="AC1" s="217"/>
      <c r="AD1" s="217"/>
    </row>
    <row r="2" spans="1:30" ht="18.75">
      <c r="A2" s="920" t="s">
        <v>564</v>
      </c>
      <c r="B2" s="920"/>
      <c r="C2" s="920"/>
      <c r="D2" s="920"/>
      <c r="E2" s="920"/>
      <c r="F2" s="920"/>
      <c r="G2" s="920"/>
      <c r="H2" s="920"/>
      <c r="I2" s="920"/>
      <c r="J2" s="920"/>
      <c r="K2" s="920"/>
      <c r="L2" s="920"/>
      <c r="M2" s="920"/>
      <c r="N2" s="920"/>
      <c r="O2" s="920"/>
      <c r="P2" s="920"/>
      <c r="Q2" s="920"/>
      <c r="R2" s="920"/>
      <c r="S2" s="920"/>
      <c r="T2" s="920"/>
      <c r="U2" s="920"/>
      <c r="V2" s="920"/>
      <c r="W2" s="920"/>
      <c r="X2" s="920"/>
      <c r="Y2" s="920"/>
      <c r="Z2" s="920"/>
      <c r="AA2" s="920"/>
      <c r="AB2" s="920"/>
      <c r="AC2" s="920"/>
      <c r="AD2" s="920"/>
    </row>
    <row r="3" spans="1:30" ht="20.25" customHeight="1">
      <c r="A3" s="987" t="s">
        <v>565</v>
      </c>
      <c r="B3" s="987"/>
      <c r="C3" s="987"/>
      <c r="D3" s="987"/>
      <c r="E3" s="987"/>
      <c r="F3" s="987"/>
      <c r="G3" s="987"/>
      <c r="H3" s="987"/>
      <c r="I3" s="987"/>
      <c r="J3" s="987"/>
      <c r="K3" s="987"/>
      <c r="L3" s="987"/>
      <c r="M3" s="987"/>
      <c r="N3" s="987"/>
      <c r="O3" s="987"/>
      <c r="P3" s="987"/>
      <c r="Q3" s="987"/>
      <c r="R3" s="987"/>
      <c r="S3" s="987"/>
      <c r="T3" s="987"/>
      <c r="U3" s="987"/>
      <c r="V3" s="987"/>
      <c r="W3" s="987"/>
      <c r="X3" s="987"/>
      <c r="Y3" s="987"/>
      <c r="Z3" s="987"/>
      <c r="AA3" s="987"/>
      <c r="AB3" s="987"/>
      <c r="AC3" s="987"/>
      <c r="AD3" s="987"/>
    </row>
    <row r="4" spans="1:30" ht="20.25" customHeight="1">
      <c r="A4" s="920" t="s">
        <v>319</v>
      </c>
      <c r="B4" s="920"/>
      <c r="C4" s="920"/>
      <c r="D4" s="920"/>
      <c r="E4" s="920"/>
      <c r="F4" s="920"/>
      <c r="G4" s="920"/>
      <c r="H4" s="920"/>
      <c r="I4" s="920"/>
      <c r="J4" s="920"/>
      <c r="K4" s="920"/>
      <c r="L4" s="920"/>
      <c r="M4" s="920"/>
      <c r="N4" s="920"/>
      <c r="O4" s="920"/>
      <c r="P4" s="920"/>
      <c r="Q4" s="920"/>
      <c r="R4" s="920"/>
      <c r="S4" s="920"/>
      <c r="T4" s="920"/>
      <c r="U4" s="920"/>
      <c r="V4" s="920"/>
      <c r="W4" s="920"/>
      <c r="X4" s="920"/>
      <c r="Y4" s="920"/>
      <c r="Z4" s="920"/>
      <c r="AA4" s="920"/>
      <c r="AB4" s="920"/>
      <c r="AC4" s="920"/>
      <c r="AD4" s="920"/>
    </row>
    <row r="5" spans="1:30" ht="20.25" customHeight="1">
      <c r="A5" s="220"/>
      <c r="B5" s="220"/>
      <c r="C5" s="221"/>
      <c r="D5" s="221"/>
      <c r="E5" s="221"/>
      <c r="F5" s="221"/>
      <c r="G5" s="221"/>
      <c r="H5" s="221"/>
      <c r="I5" s="221"/>
      <c r="J5" s="221"/>
      <c r="K5" s="222"/>
      <c r="L5" s="221"/>
      <c r="M5" s="221"/>
      <c r="N5" s="221"/>
      <c r="O5" s="221"/>
      <c r="P5" s="221"/>
      <c r="Q5" s="222"/>
      <c r="R5" s="221"/>
      <c r="S5" s="221"/>
      <c r="T5" s="221"/>
      <c r="U5" s="221"/>
      <c r="V5" s="221"/>
      <c r="W5" s="221"/>
      <c r="X5" s="221"/>
      <c r="Y5" s="221"/>
      <c r="Z5" s="221"/>
      <c r="AA5" s="221"/>
      <c r="AB5" s="221"/>
      <c r="AC5" s="221" t="s">
        <v>566</v>
      </c>
      <c r="AD5" s="221"/>
    </row>
    <row r="6" spans="1:30" s="224" customFormat="1" ht="12.75" customHeight="1">
      <c r="A6" s="223"/>
      <c r="B6" s="223"/>
      <c r="C6" s="984" t="s">
        <v>582</v>
      </c>
      <c r="D6" s="985"/>
      <c r="E6" s="985"/>
      <c r="F6" s="985"/>
      <c r="G6" s="985"/>
      <c r="H6" s="985"/>
      <c r="I6" s="985"/>
      <c r="J6" s="985"/>
      <c r="K6" s="985"/>
      <c r="L6" s="985"/>
      <c r="M6" s="985"/>
      <c r="N6" s="985"/>
      <c r="O6" s="985"/>
      <c r="P6" s="985"/>
      <c r="Q6" s="971" t="s">
        <v>567</v>
      </c>
      <c r="R6" s="972"/>
      <c r="S6" s="981" t="s">
        <v>583</v>
      </c>
      <c r="T6" s="981"/>
      <c r="U6" s="981"/>
      <c r="V6" s="981"/>
      <c r="W6" s="981"/>
      <c r="X6" s="981"/>
      <c r="Y6" s="981"/>
      <c r="Z6" s="981"/>
      <c r="AA6" s="981"/>
      <c r="AB6" s="981"/>
      <c r="AC6" s="981"/>
      <c r="AD6" s="981"/>
    </row>
    <row r="7" spans="1:30" s="224" customFormat="1" ht="30" customHeight="1">
      <c r="A7" s="225"/>
      <c r="B7" s="226"/>
      <c r="C7" s="981" t="s">
        <v>568</v>
      </c>
      <c r="D7" s="981"/>
      <c r="E7" s="981"/>
      <c r="F7" s="981"/>
      <c r="G7" s="981"/>
      <c r="H7" s="981"/>
      <c r="I7" s="981"/>
      <c r="J7" s="981"/>
      <c r="K7" s="977" t="s">
        <v>569</v>
      </c>
      <c r="L7" s="978"/>
      <c r="M7" s="981" t="s">
        <v>570</v>
      </c>
      <c r="N7" s="981"/>
      <c r="O7" s="981"/>
      <c r="P7" s="981"/>
      <c r="Q7" s="973"/>
      <c r="R7" s="974"/>
      <c r="S7" s="981" t="s">
        <v>571</v>
      </c>
      <c r="T7" s="981"/>
      <c r="U7" s="981"/>
      <c r="V7" s="981"/>
      <c r="W7" s="981"/>
      <c r="X7" s="981"/>
      <c r="Y7" s="981"/>
      <c r="Z7" s="981"/>
      <c r="AA7" s="984" t="s">
        <v>572</v>
      </c>
      <c r="AB7" s="985"/>
      <c r="AC7" s="985"/>
      <c r="AD7" s="986"/>
    </row>
    <row r="8" spans="1:30" s="224" customFormat="1" ht="12.75" customHeight="1">
      <c r="A8" s="225"/>
      <c r="B8" s="226"/>
      <c r="C8" s="983" t="s">
        <v>573</v>
      </c>
      <c r="D8" s="983"/>
      <c r="E8" s="983"/>
      <c r="F8" s="983"/>
      <c r="G8" s="965" t="s">
        <v>574</v>
      </c>
      <c r="H8" s="966"/>
      <c r="I8" s="966"/>
      <c r="J8" s="967"/>
      <c r="K8" s="979"/>
      <c r="L8" s="980"/>
      <c r="M8" s="959" t="s">
        <v>575</v>
      </c>
      <c r="N8" s="961" t="s">
        <v>321</v>
      </c>
      <c r="O8" s="962"/>
      <c r="P8" s="963"/>
      <c r="Q8" s="975"/>
      <c r="R8" s="976"/>
      <c r="S8" s="968" t="s">
        <v>573</v>
      </c>
      <c r="T8" s="969"/>
      <c r="U8" s="969"/>
      <c r="V8" s="970"/>
      <c r="W8" s="965" t="s">
        <v>574</v>
      </c>
      <c r="X8" s="966"/>
      <c r="Y8" s="966"/>
      <c r="Z8" s="967"/>
      <c r="AA8" s="959" t="s">
        <v>575</v>
      </c>
      <c r="AB8" s="961" t="s">
        <v>321</v>
      </c>
      <c r="AC8" s="962"/>
      <c r="AD8" s="963"/>
    </row>
    <row r="9" spans="1:30" s="224" customFormat="1" ht="63.75">
      <c r="A9" s="227"/>
      <c r="B9" s="228"/>
      <c r="C9" s="229" t="s">
        <v>575</v>
      </c>
      <c r="D9" s="229" t="s">
        <v>512</v>
      </c>
      <c r="E9" s="230" t="s">
        <v>515</v>
      </c>
      <c r="F9" s="229" t="s">
        <v>576</v>
      </c>
      <c r="G9" s="229" t="s">
        <v>575</v>
      </c>
      <c r="H9" s="229" t="s">
        <v>512</v>
      </c>
      <c r="I9" s="230" t="s">
        <v>515</v>
      </c>
      <c r="J9" s="229" t="s">
        <v>576</v>
      </c>
      <c r="K9" s="231" t="s">
        <v>513</v>
      </c>
      <c r="L9" s="226" t="s">
        <v>514</v>
      </c>
      <c r="M9" s="960"/>
      <c r="N9" s="232" t="s">
        <v>512</v>
      </c>
      <c r="O9" s="230" t="s">
        <v>515</v>
      </c>
      <c r="P9" s="232" t="s">
        <v>576</v>
      </c>
      <c r="Q9" s="233" t="s">
        <v>513</v>
      </c>
      <c r="R9" s="232" t="s">
        <v>514</v>
      </c>
      <c r="S9" s="229" t="s">
        <v>575</v>
      </c>
      <c r="T9" s="229" t="s">
        <v>512</v>
      </c>
      <c r="U9" s="230" t="s">
        <v>515</v>
      </c>
      <c r="V9" s="229" t="s">
        <v>576</v>
      </c>
      <c r="W9" s="229" t="s">
        <v>575</v>
      </c>
      <c r="X9" s="229" t="s">
        <v>512</v>
      </c>
      <c r="Y9" s="230" t="s">
        <v>515</v>
      </c>
      <c r="Z9" s="229" t="s">
        <v>576</v>
      </c>
      <c r="AA9" s="960"/>
      <c r="AB9" s="232" t="s">
        <v>512</v>
      </c>
      <c r="AC9" s="230" t="s">
        <v>515</v>
      </c>
      <c r="AD9" s="229" t="s">
        <v>576</v>
      </c>
    </row>
    <row r="10" spans="1:30" s="224" customFormat="1" ht="12.75">
      <c r="A10" s="964" t="s">
        <v>323</v>
      </c>
      <c r="B10" s="964"/>
      <c r="C10" s="229">
        <v>1</v>
      </c>
      <c r="D10" s="229"/>
      <c r="E10" s="229"/>
      <c r="F10" s="229">
        <v>3</v>
      </c>
      <c r="G10" s="229">
        <v>4</v>
      </c>
      <c r="H10" s="229">
        <v>5</v>
      </c>
      <c r="I10" s="230"/>
      <c r="J10" s="229">
        <v>6</v>
      </c>
      <c r="K10" s="234"/>
      <c r="L10" s="229"/>
      <c r="M10" s="229">
        <v>7</v>
      </c>
      <c r="N10" s="229">
        <v>8</v>
      </c>
      <c r="O10" s="230"/>
      <c r="P10" s="229">
        <v>9</v>
      </c>
      <c r="Q10" s="234"/>
      <c r="R10" s="229"/>
      <c r="S10" s="229">
        <v>10</v>
      </c>
      <c r="T10" s="229">
        <v>11</v>
      </c>
      <c r="U10" s="230"/>
      <c r="V10" s="229">
        <v>12</v>
      </c>
      <c r="W10" s="229">
        <v>13</v>
      </c>
      <c r="X10" s="229">
        <v>14</v>
      </c>
      <c r="Y10" s="230"/>
      <c r="Z10" s="229">
        <v>15</v>
      </c>
      <c r="AA10" s="229">
        <v>16</v>
      </c>
      <c r="AB10" s="229">
        <v>17</v>
      </c>
      <c r="AC10" s="230"/>
      <c r="AD10" s="229">
        <v>18</v>
      </c>
    </row>
    <row r="11" spans="1:30" ht="27" customHeight="1">
      <c r="A11" s="982" t="s">
        <v>324</v>
      </c>
      <c r="B11" s="982"/>
      <c r="C11" s="235">
        <f aca="true" t="shared" si="0" ref="C11:J11">SUM(C12:C74)</f>
        <v>1021397.5</v>
      </c>
      <c r="D11" s="235">
        <f t="shared" si="0"/>
        <v>334832.5</v>
      </c>
      <c r="E11" s="235">
        <f t="shared" si="0"/>
        <v>343282.5</v>
      </c>
      <c r="F11" s="236">
        <f t="shared" si="0"/>
        <v>686565</v>
      </c>
      <c r="G11" s="236">
        <f t="shared" si="0"/>
        <v>211337.12</v>
      </c>
      <c r="H11" s="236">
        <f t="shared" si="0"/>
        <v>68367.12</v>
      </c>
      <c r="I11" s="236">
        <f t="shared" si="0"/>
        <v>71485</v>
      </c>
      <c r="J11" s="236">
        <f t="shared" si="0"/>
        <v>142970</v>
      </c>
      <c r="K11" s="237"/>
      <c r="L11" s="236"/>
      <c r="M11" s="236">
        <f>SUM(M12:M74)</f>
        <v>2255.5</v>
      </c>
      <c r="N11" s="236">
        <f>SUM(N12:N74)</f>
        <v>753.5</v>
      </c>
      <c r="O11" s="236">
        <f>SUM(O12:O74)</f>
        <v>751</v>
      </c>
      <c r="P11" s="236">
        <f>SUM(P12:P74)</f>
        <v>1502</v>
      </c>
      <c r="Q11" s="237"/>
      <c r="R11" s="236"/>
      <c r="S11" s="236">
        <f aca="true" t="shared" si="1" ref="S11:AD11">SUM(S12:S74)</f>
        <v>279206</v>
      </c>
      <c r="T11" s="236">
        <f t="shared" si="1"/>
        <v>90002</v>
      </c>
      <c r="U11" s="236">
        <f t="shared" si="1"/>
        <v>94602</v>
      </c>
      <c r="V11" s="236">
        <f t="shared" si="1"/>
        <v>189204</v>
      </c>
      <c r="W11" s="236">
        <f t="shared" si="1"/>
        <v>4505</v>
      </c>
      <c r="X11" s="236">
        <f t="shared" si="1"/>
        <v>1848</v>
      </c>
      <c r="Y11" s="236">
        <f t="shared" si="1"/>
        <v>1328.5</v>
      </c>
      <c r="Z11" s="236">
        <f t="shared" si="1"/>
        <v>2657</v>
      </c>
      <c r="AA11" s="236">
        <f t="shared" si="1"/>
        <v>402.5</v>
      </c>
      <c r="AB11" s="236">
        <f t="shared" si="1"/>
        <v>138.5</v>
      </c>
      <c r="AC11" s="236">
        <f t="shared" si="1"/>
        <v>132</v>
      </c>
      <c r="AD11" s="236">
        <f t="shared" si="1"/>
        <v>264</v>
      </c>
    </row>
    <row r="12" spans="1:30" ht="16.5">
      <c r="A12" s="238">
        <v>1</v>
      </c>
      <c r="B12" s="239" t="s">
        <v>449</v>
      </c>
      <c r="C12" s="240">
        <f aca="true" t="shared" si="2" ref="C12:C43">D12+F12</f>
        <v>18402</v>
      </c>
      <c r="D12" s="241">
        <v>6134</v>
      </c>
      <c r="E12" s="242">
        <f aca="true" t="shared" si="3" ref="E12:E43">(F12/4)*2</f>
        <v>6134</v>
      </c>
      <c r="F12" s="241">
        <v>12268</v>
      </c>
      <c r="G12" s="240">
        <f aca="true" t="shared" si="4" ref="G12:G43">H12+J12</f>
        <v>582</v>
      </c>
      <c r="H12" s="241">
        <v>194</v>
      </c>
      <c r="I12" s="242">
        <f aca="true" t="shared" si="5" ref="I12:I43">(J12/4)*2</f>
        <v>194</v>
      </c>
      <c r="J12" s="176">
        <v>388</v>
      </c>
      <c r="K12" s="211">
        <f>M12/'[1]4'!$J$13</f>
        <v>0.35772357723577236</v>
      </c>
      <c r="L12" s="176">
        <f>M12-'[1]4'!$J$13</f>
        <v>-79</v>
      </c>
      <c r="M12" s="244">
        <f aca="true" t="shared" si="6" ref="M12:M43">N12+P12</f>
        <v>44</v>
      </c>
      <c r="N12" s="176">
        <v>15</v>
      </c>
      <c r="O12" s="245">
        <f aca="true" t="shared" si="7" ref="O12:O43">(P12/4)*2</f>
        <v>14.5</v>
      </c>
      <c r="P12" s="176">
        <v>29</v>
      </c>
      <c r="Q12" s="211">
        <f>S12/'[1]4'!$G$13</f>
        <v>1.0304795448387971</v>
      </c>
      <c r="R12" s="176">
        <f>S12-'[1]4'!$G$13</f>
        <v>225</v>
      </c>
      <c r="S12" s="244">
        <f aca="true" t="shared" si="8" ref="S12:S43">T12+V12</f>
        <v>7607</v>
      </c>
      <c r="T12" s="176">
        <v>2536</v>
      </c>
      <c r="U12" s="245">
        <f aca="true" t="shared" si="9" ref="U12:U43">(V12/4)*2</f>
        <v>2535.5</v>
      </c>
      <c r="V12" s="176">
        <v>5071</v>
      </c>
      <c r="W12" s="244">
        <f aca="true" t="shared" si="10" ref="W12:W43">X12+Z12</f>
        <v>12</v>
      </c>
      <c r="X12" s="176">
        <v>4</v>
      </c>
      <c r="Y12" s="245">
        <f aca="true" t="shared" si="11" ref="Y12:Y43">(Z12/4)*2</f>
        <v>4</v>
      </c>
      <c r="Z12" s="176">
        <v>8</v>
      </c>
      <c r="AA12" s="244">
        <f aca="true" t="shared" si="12" ref="AA12:AA43">AB12+AD12</f>
        <v>14</v>
      </c>
      <c r="AB12" s="176">
        <v>5</v>
      </c>
      <c r="AC12" s="245">
        <f aca="true" t="shared" si="13" ref="AC12:AC43">(AD12/4)*2</f>
        <v>4.5</v>
      </c>
      <c r="AD12" s="176">
        <v>9</v>
      </c>
    </row>
    <row r="13" spans="1:30" ht="16.5">
      <c r="A13" s="238">
        <v>2</v>
      </c>
      <c r="B13" s="246" t="s">
        <v>534</v>
      </c>
      <c r="C13" s="240">
        <f t="shared" si="2"/>
        <v>10955</v>
      </c>
      <c r="D13" s="241">
        <v>3652</v>
      </c>
      <c r="E13" s="242">
        <f t="shared" si="3"/>
        <v>3651.5</v>
      </c>
      <c r="F13" s="241">
        <v>7303</v>
      </c>
      <c r="G13" s="240">
        <f t="shared" si="4"/>
        <v>1097</v>
      </c>
      <c r="H13" s="241">
        <v>366</v>
      </c>
      <c r="I13" s="242">
        <f t="shared" si="5"/>
        <v>365.5</v>
      </c>
      <c r="J13" s="176">
        <v>731</v>
      </c>
      <c r="K13" s="211">
        <f>M13/'[1]4'!$J$14</f>
        <v>0.4293785310734463</v>
      </c>
      <c r="L13" s="176">
        <f>M13-'[1]4'!$J$14</f>
        <v>-101</v>
      </c>
      <c r="M13" s="244">
        <f t="shared" si="6"/>
        <v>76</v>
      </c>
      <c r="N13" s="176">
        <v>25</v>
      </c>
      <c r="O13" s="245">
        <f t="shared" si="7"/>
        <v>25.5</v>
      </c>
      <c r="P13" s="176">
        <v>51</v>
      </c>
      <c r="Q13" s="211">
        <f>S13/'[1]4'!$G$14</f>
        <v>1.2675714978187107</v>
      </c>
      <c r="R13" s="176">
        <f>S13-'[1]4'!$G$14</f>
        <v>552</v>
      </c>
      <c r="S13" s="244">
        <f t="shared" si="8"/>
        <v>2615</v>
      </c>
      <c r="T13" s="176">
        <v>872</v>
      </c>
      <c r="U13" s="245">
        <f t="shared" si="9"/>
        <v>871.5</v>
      </c>
      <c r="V13" s="176">
        <v>1743</v>
      </c>
      <c r="W13" s="244">
        <f t="shared" si="10"/>
        <v>14</v>
      </c>
      <c r="X13" s="176">
        <v>5</v>
      </c>
      <c r="Y13" s="245">
        <f t="shared" si="11"/>
        <v>4.5</v>
      </c>
      <c r="Z13" s="176">
        <v>9</v>
      </c>
      <c r="AA13" s="244">
        <f t="shared" si="12"/>
        <v>18</v>
      </c>
      <c r="AB13" s="176">
        <v>6</v>
      </c>
      <c r="AC13" s="245">
        <f t="shared" si="13"/>
        <v>6</v>
      </c>
      <c r="AD13" s="176">
        <v>12</v>
      </c>
    </row>
    <row r="14" spans="1:30" s="247" customFormat="1" ht="16.5">
      <c r="A14" s="238">
        <v>3</v>
      </c>
      <c r="B14" s="239" t="s">
        <v>451</v>
      </c>
      <c r="C14" s="240">
        <f t="shared" si="2"/>
        <v>23516</v>
      </c>
      <c r="D14" s="212">
        <v>7839</v>
      </c>
      <c r="E14" s="242">
        <f t="shared" si="3"/>
        <v>7838.5</v>
      </c>
      <c r="F14" s="212">
        <v>15677</v>
      </c>
      <c r="G14" s="240">
        <f t="shared" si="4"/>
        <v>11732</v>
      </c>
      <c r="H14" s="212">
        <v>3911</v>
      </c>
      <c r="I14" s="242">
        <f t="shared" si="5"/>
        <v>3910.5</v>
      </c>
      <c r="J14" s="212">
        <v>7821</v>
      </c>
      <c r="K14" s="211">
        <f>M14/'[1]4'!$J$15</f>
        <v>0.323943661971831</v>
      </c>
      <c r="L14" s="176">
        <f>M14-'[1]4'!$J$15</f>
        <v>-48</v>
      </c>
      <c r="M14" s="244">
        <f t="shared" si="6"/>
        <v>23</v>
      </c>
      <c r="N14" s="212">
        <v>8</v>
      </c>
      <c r="O14" s="245">
        <f t="shared" si="7"/>
        <v>7.5</v>
      </c>
      <c r="P14" s="212">
        <v>15</v>
      </c>
      <c r="Q14" s="211">
        <f>S14/'[1]4'!$G$15</f>
        <v>1.3866828087167071</v>
      </c>
      <c r="R14" s="176">
        <f>S14-'[1]4'!$G$15</f>
        <v>1597</v>
      </c>
      <c r="S14" s="244">
        <f t="shared" si="8"/>
        <v>5727</v>
      </c>
      <c r="T14" s="212">
        <v>1909</v>
      </c>
      <c r="U14" s="245">
        <f t="shared" si="9"/>
        <v>1909</v>
      </c>
      <c r="V14" s="212">
        <v>3818</v>
      </c>
      <c r="W14" s="244">
        <f t="shared" si="10"/>
        <v>119</v>
      </c>
      <c r="X14" s="212">
        <v>40</v>
      </c>
      <c r="Y14" s="245">
        <f t="shared" si="11"/>
        <v>39.5</v>
      </c>
      <c r="Z14" s="212">
        <v>79</v>
      </c>
      <c r="AA14" s="244">
        <f t="shared" si="12"/>
        <v>1</v>
      </c>
      <c r="AB14" s="212">
        <v>0</v>
      </c>
      <c r="AC14" s="245">
        <f t="shared" si="13"/>
        <v>0.5</v>
      </c>
      <c r="AD14" s="212">
        <v>1</v>
      </c>
    </row>
    <row r="15" spans="1:30" ht="16.5">
      <c r="A15" s="238">
        <v>4</v>
      </c>
      <c r="B15" s="239" t="s">
        <v>452</v>
      </c>
      <c r="C15" s="240">
        <f t="shared" si="2"/>
        <v>3369</v>
      </c>
      <c r="D15" s="212">
        <v>1123</v>
      </c>
      <c r="E15" s="242">
        <f t="shared" si="3"/>
        <v>1123</v>
      </c>
      <c r="F15" s="212">
        <v>2246</v>
      </c>
      <c r="G15" s="240">
        <f t="shared" si="4"/>
        <v>1058</v>
      </c>
      <c r="H15" s="212">
        <v>353</v>
      </c>
      <c r="I15" s="242">
        <f t="shared" si="5"/>
        <v>352.5</v>
      </c>
      <c r="J15" s="212">
        <v>705</v>
      </c>
      <c r="K15" s="211">
        <f>M15/'[1]4'!$J$16</f>
        <v>0</v>
      </c>
      <c r="L15" s="176">
        <f>M15-'[1]4'!$J$16</f>
        <v>-6</v>
      </c>
      <c r="M15" s="244">
        <f t="shared" si="6"/>
        <v>0</v>
      </c>
      <c r="N15" s="212"/>
      <c r="O15" s="245">
        <f t="shared" si="7"/>
        <v>0</v>
      </c>
      <c r="P15" s="212"/>
      <c r="Q15" s="211">
        <f>S15/'[1]4'!$G$16</f>
        <v>1.1084967320261438</v>
      </c>
      <c r="R15" s="176">
        <f>S15-'[1]4'!$G$16</f>
        <v>83</v>
      </c>
      <c r="S15" s="244">
        <f t="shared" si="8"/>
        <v>848</v>
      </c>
      <c r="T15" s="212">
        <v>283</v>
      </c>
      <c r="U15" s="245">
        <f t="shared" si="9"/>
        <v>282.5</v>
      </c>
      <c r="V15" s="212">
        <v>565</v>
      </c>
      <c r="W15" s="244">
        <f t="shared" si="10"/>
        <v>6</v>
      </c>
      <c r="X15" s="212">
        <v>2</v>
      </c>
      <c r="Y15" s="245">
        <f t="shared" si="11"/>
        <v>2</v>
      </c>
      <c r="Z15" s="212">
        <v>4</v>
      </c>
      <c r="AA15" s="244">
        <f t="shared" si="12"/>
        <v>0</v>
      </c>
      <c r="AB15" s="212"/>
      <c r="AC15" s="245">
        <f t="shared" si="13"/>
        <v>0</v>
      </c>
      <c r="AD15" s="212"/>
    </row>
    <row r="16" spans="1:30" ht="16.5">
      <c r="A16" s="238">
        <v>5</v>
      </c>
      <c r="B16" s="239" t="s">
        <v>453</v>
      </c>
      <c r="C16" s="240">
        <f t="shared" si="2"/>
        <v>12411</v>
      </c>
      <c r="D16" s="212">
        <v>4137</v>
      </c>
      <c r="E16" s="242">
        <f t="shared" si="3"/>
        <v>4137</v>
      </c>
      <c r="F16" s="212">
        <v>8274</v>
      </c>
      <c r="G16" s="240">
        <f t="shared" si="4"/>
        <v>2589</v>
      </c>
      <c r="H16" s="212">
        <v>863</v>
      </c>
      <c r="I16" s="242">
        <f t="shared" si="5"/>
        <v>863</v>
      </c>
      <c r="J16" s="212">
        <v>1726</v>
      </c>
      <c r="K16" s="211">
        <f>M16/'[1]4'!$J$17</f>
        <v>0.1724137931034483</v>
      </c>
      <c r="L16" s="176">
        <f>M16-'[1]4'!$J$17</f>
        <v>-72</v>
      </c>
      <c r="M16" s="244">
        <f t="shared" si="6"/>
        <v>15</v>
      </c>
      <c r="N16" s="212">
        <v>5</v>
      </c>
      <c r="O16" s="245">
        <f t="shared" si="7"/>
        <v>5</v>
      </c>
      <c r="P16" s="212">
        <v>10</v>
      </c>
      <c r="Q16" s="211">
        <f>S16/'[1]4'!$G$17</f>
        <v>1.1566462167689162</v>
      </c>
      <c r="R16" s="176">
        <f>S16-'[1]4'!$G$17</f>
        <v>383</v>
      </c>
      <c r="S16" s="244">
        <f t="shared" si="8"/>
        <v>2828</v>
      </c>
      <c r="T16" s="212">
        <v>943</v>
      </c>
      <c r="U16" s="245">
        <f t="shared" si="9"/>
        <v>942.5</v>
      </c>
      <c r="V16" s="212">
        <v>1885</v>
      </c>
      <c r="W16" s="244">
        <f t="shared" si="10"/>
        <v>0</v>
      </c>
      <c r="X16" s="212">
        <v>0</v>
      </c>
      <c r="Y16" s="245">
        <f t="shared" si="11"/>
        <v>0</v>
      </c>
      <c r="Z16" s="212">
        <v>0</v>
      </c>
      <c r="AA16" s="244">
        <f t="shared" si="12"/>
        <v>5</v>
      </c>
      <c r="AB16" s="212">
        <v>2</v>
      </c>
      <c r="AC16" s="245">
        <f t="shared" si="13"/>
        <v>1.5</v>
      </c>
      <c r="AD16" s="212">
        <v>3</v>
      </c>
    </row>
    <row r="17" spans="1:30" ht="16.5">
      <c r="A17" s="238">
        <v>6</v>
      </c>
      <c r="B17" s="239" t="s">
        <v>454</v>
      </c>
      <c r="C17" s="240">
        <f t="shared" si="2"/>
        <v>18297</v>
      </c>
      <c r="D17" s="212">
        <v>6099</v>
      </c>
      <c r="E17" s="242">
        <f t="shared" si="3"/>
        <v>6099</v>
      </c>
      <c r="F17" s="212">
        <v>12198</v>
      </c>
      <c r="G17" s="240">
        <f t="shared" si="4"/>
        <v>5358</v>
      </c>
      <c r="H17" s="212">
        <v>1786</v>
      </c>
      <c r="I17" s="242">
        <f t="shared" si="5"/>
        <v>1786</v>
      </c>
      <c r="J17" s="212">
        <v>3572</v>
      </c>
      <c r="K17" s="211">
        <f>M17/'[1]4'!$J$18</f>
        <v>0.38461538461538464</v>
      </c>
      <c r="L17" s="176">
        <f>M17-'[1]4'!$J$18</f>
        <v>-16</v>
      </c>
      <c r="M17" s="244">
        <f t="shared" si="6"/>
        <v>10</v>
      </c>
      <c r="N17" s="212">
        <v>3</v>
      </c>
      <c r="O17" s="245">
        <f t="shared" si="7"/>
        <v>3.5</v>
      </c>
      <c r="P17" s="212">
        <v>7</v>
      </c>
      <c r="Q17" s="211">
        <f>S17/'[1]4'!$G$18</f>
        <v>1.3102625298329356</v>
      </c>
      <c r="R17" s="176">
        <f>S17-'[1]4'!$G$18</f>
        <v>780</v>
      </c>
      <c r="S17" s="244">
        <f t="shared" si="8"/>
        <v>3294</v>
      </c>
      <c r="T17" s="212">
        <v>1098</v>
      </c>
      <c r="U17" s="245">
        <f t="shared" si="9"/>
        <v>1098</v>
      </c>
      <c r="V17" s="212">
        <v>2196</v>
      </c>
      <c r="W17" s="244">
        <f t="shared" si="10"/>
        <v>12</v>
      </c>
      <c r="X17" s="212">
        <v>4</v>
      </c>
      <c r="Y17" s="245">
        <f t="shared" si="11"/>
        <v>4</v>
      </c>
      <c r="Z17" s="212">
        <v>8</v>
      </c>
      <c r="AA17" s="244">
        <f t="shared" si="12"/>
        <v>0</v>
      </c>
      <c r="AB17" s="212">
        <v>0</v>
      </c>
      <c r="AC17" s="245">
        <f t="shared" si="13"/>
        <v>0</v>
      </c>
      <c r="AD17" s="212">
        <v>0</v>
      </c>
    </row>
    <row r="18" spans="1:31" ht="16.5">
      <c r="A18" s="238">
        <v>7</v>
      </c>
      <c r="B18" s="239" t="s">
        <v>455</v>
      </c>
      <c r="C18" s="240">
        <f t="shared" si="2"/>
        <v>11615</v>
      </c>
      <c r="D18" s="212">
        <v>3872</v>
      </c>
      <c r="E18" s="242">
        <f t="shared" si="3"/>
        <v>3871.5</v>
      </c>
      <c r="F18" s="212">
        <v>7743</v>
      </c>
      <c r="G18" s="240">
        <f t="shared" si="4"/>
        <v>2154</v>
      </c>
      <c r="H18" s="212">
        <v>718</v>
      </c>
      <c r="I18" s="242">
        <f t="shared" si="5"/>
        <v>718</v>
      </c>
      <c r="J18" s="212">
        <v>1436</v>
      </c>
      <c r="K18" s="211">
        <f>M18/'[1]4'!$J$19</f>
        <v>0.23577235772357724</v>
      </c>
      <c r="L18" s="176">
        <f>M18-'[1]4'!$J$19</f>
        <v>-94</v>
      </c>
      <c r="M18" s="244">
        <f t="shared" si="6"/>
        <v>29</v>
      </c>
      <c r="N18" s="212">
        <v>10</v>
      </c>
      <c r="O18" s="245">
        <f t="shared" si="7"/>
        <v>9.5</v>
      </c>
      <c r="P18" s="212">
        <v>19</v>
      </c>
      <c r="Q18" s="211">
        <f>S18/'[1]4'!$G$19</f>
        <v>1.2769157316782047</v>
      </c>
      <c r="R18" s="176">
        <f>S18-'[1]4'!$G$19</f>
        <v>1160</v>
      </c>
      <c r="S18" s="244">
        <f t="shared" si="8"/>
        <v>5349</v>
      </c>
      <c r="T18" s="212">
        <v>1783</v>
      </c>
      <c r="U18" s="245">
        <f t="shared" si="9"/>
        <v>1783</v>
      </c>
      <c r="V18" s="212">
        <v>3566</v>
      </c>
      <c r="W18" s="244">
        <f t="shared" si="10"/>
        <v>9</v>
      </c>
      <c r="X18" s="212">
        <v>9</v>
      </c>
      <c r="Y18" s="245">
        <f t="shared" si="11"/>
        <v>0</v>
      </c>
      <c r="Z18" s="212"/>
      <c r="AA18" s="244">
        <f t="shared" si="12"/>
        <v>5</v>
      </c>
      <c r="AB18" s="212">
        <v>2</v>
      </c>
      <c r="AC18" s="245">
        <f t="shared" si="13"/>
        <v>1.5</v>
      </c>
      <c r="AD18" s="212">
        <v>3</v>
      </c>
      <c r="AE18" t="s">
        <v>577</v>
      </c>
    </row>
    <row r="19" spans="1:30" ht="16.5">
      <c r="A19" s="238">
        <v>8</v>
      </c>
      <c r="B19" s="239" t="s">
        <v>456</v>
      </c>
      <c r="C19" s="240">
        <f t="shared" si="2"/>
        <v>15615</v>
      </c>
      <c r="D19" s="213">
        <v>5205</v>
      </c>
      <c r="E19" s="242">
        <f t="shared" si="3"/>
        <v>5205</v>
      </c>
      <c r="F19" s="213">
        <v>10410</v>
      </c>
      <c r="G19" s="240">
        <f t="shared" si="4"/>
        <v>1797</v>
      </c>
      <c r="H19" s="213">
        <v>599</v>
      </c>
      <c r="I19" s="242">
        <f t="shared" si="5"/>
        <v>599</v>
      </c>
      <c r="J19" s="213">
        <v>1198</v>
      </c>
      <c r="K19" s="211">
        <f>M19/'[1]4'!$J$20</f>
        <v>0.30357142857142855</v>
      </c>
      <c r="L19" s="176">
        <f>M19-'[1]4'!$J$20</f>
        <v>-39</v>
      </c>
      <c r="M19" s="244">
        <f t="shared" si="6"/>
        <v>17</v>
      </c>
      <c r="N19" s="213">
        <v>6</v>
      </c>
      <c r="O19" s="245">
        <f t="shared" si="7"/>
        <v>5.5</v>
      </c>
      <c r="P19" s="213">
        <v>11</v>
      </c>
      <c r="Q19" s="211">
        <f>S19/'[1]4'!$G$20</f>
        <v>1.327810912303954</v>
      </c>
      <c r="R19" s="176">
        <f>S19-'[1]4'!$G$20</f>
        <v>1484</v>
      </c>
      <c r="S19" s="244">
        <f t="shared" si="8"/>
        <v>6011</v>
      </c>
      <c r="T19" s="213">
        <v>2004</v>
      </c>
      <c r="U19" s="245">
        <f t="shared" si="9"/>
        <v>2003.5</v>
      </c>
      <c r="V19" s="213">
        <v>4007</v>
      </c>
      <c r="W19" s="244">
        <f t="shared" si="10"/>
        <v>11</v>
      </c>
      <c r="X19" s="213">
        <v>4</v>
      </c>
      <c r="Y19" s="245">
        <f t="shared" si="11"/>
        <v>3.5</v>
      </c>
      <c r="Z19" s="213">
        <v>7</v>
      </c>
      <c r="AA19" s="244">
        <f t="shared" si="12"/>
        <v>0</v>
      </c>
      <c r="AB19" s="213">
        <v>0</v>
      </c>
      <c r="AC19" s="245">
        <f t="shared" si="13"/>
        <v>0</v>
      </c>
      <c r="AD19" s="213">
        <v>0</v>
      </c>
    </row>
    <row r="20" spans="1:30" ht="16.5">
      <c r="A20" s="238">
        <v>9</v>
      </c>
      <c r="B20" s="239" t="s">
        <v>457</v>
      </c>
      <c r="C20" s="240">
        <f t="shared" si="2"/>
        <v>11409</v>
      </c>
      <c r="D20" s="212">
        <v>3803</v>
      </c>
      <c r="E20" s="242">
        <f t="shared" si="3"/>
        <v>3803</v>
      </c>
      <c r="F20" s="212">
        <v>7606</v>
      </c>
      <c r="G20" s="240">
        <f t="shared" si="4"/>
        <v>2100</v>
      </c>
      <c r="H20" s="212">
        <v>700</v>
      </c>
      <c r="I20" s="242">
        <f t="shared" si="5"/>
        <v>700</v>
      </c>
      <c r="J20" s="212">
        <v>1400</v>
      </c>
      <c r="K20" s="211">
        <f>M20/'[1]4'!$J$21</f>
        <v>0.6271186440677966</v>
      </c>
      <c r="L20" s="176">
        <f>M20-'[1]4'!$J$21</f>
        <v>-22</v>
      </c>
      <c r="M20" s="244">
        <f t="shared" si="6"/>
        <v>37</v>
      </c>
      <c r="N20" s="212">
        <v>12</v>
      </c>
      <c r="O20" s="245">
        <f t="shared" si="7"/>
        <v>12.5</v>
      </c>
      <c r="P20" s="212">
        <v>25</v>
      </c>
      <c r="Q20" s="211">
        <f>S20/'[1]4'!$G$21</f>
        <v>1.230537634408602</v>
      </c>
      <c r="R20" s="176">
        <f>S20-'[1]4'!$G$21</f>
        <v>536</v>
      </c>
      <c r="S20" s="244">
        <f t="shared" si="8"/>
        <v>2861</v>
      </c>
      <c r="T20" s="212">
        <v>954</v>
      </c>
      <c r="U20" s="245">
        <f t="shared" si="9"/>
        <v>953.5</v>
      </c>
      <c r="V20" s="212">
        <v>1907</v>
      </c>
      <c r="W20" s="244">
        <f t="shared" si="10"/>
        <v>15</v>
      </c>
      <c r="X20" s="212">
        <v>5</v>
      </c>
      <c r="Y20" s="245">
        <f t="shared" si="11"/>
        <v>5</v>
      </c>
      <c r="Z20" s="212">
        <v>10</v>
      </c>
      <c r="AA20" s="244">
        <f t="shared" si="12"/>
        <v>12</v>
      </c>
      <c r="AB20" s="212">
        <v>4</v>
      </c>
      <c r="AC20" s="245">
        <f t="shared" si="13"/>
        <v>4</v>
      </c>
      <c r="AD20" s="212">
        <v>8</v>
      </c>
    </row>
    <row r="21" spans="1:30" ht="16.5">
      <c r="A21" s="238">
        <v>10</v>
      </c>
      <c r="B21" s="239" t="s">
        <v>362</v>
      </c>
      <c r="C21" s="240">
        <f t="shared" si="2"/>
        <v>11861</v>
      </c>
      <c r="D21" s="212">
        <v>3954</v>
      </c>
      <c r="E21" s="242">
        <f t="shared" si="3"/>
        <v>3953.5</v>
      </c>
      <c r="F21" s="212">
        <v>7907</v>
      </c>
      <c r="G21" s="240">
        <f t="shared" si="4"/>
        <v>1385</v>
      </c>
      <c r="H21" s="212">
        <v>462</v>
      </c>
      <c r="I21" s="242">
        <f t="shared" si="5"/>
        <v>461.5</v>
      </c>
      <c r="J21" s="212">
        <v>923</v>
      </c>
      <c r="K21" s="211">
        <f>M21/'[1]4'!$J$22</f>
        <v>0.5454545454545454</v>
      </c>
      <c r="L21" s="176">
        <f>M21-'[1]4'!$J$22</f>
        <v>-10</v>
      </c>
      <c r="M21" s="244">
        <f t="shared" si="6"/>
        <v>12</v>
      </c>
      <c r="N21" s="248">
        <v>4</v>
      </c>
      <c r="O21" s="245">
        <f t="shared" si="7"/>
        <v>4</v>
      </c>
      <c r="P21" s="212">
        <v>8</v>
      </c>
      <c r="Q21" s="211">
        <f>S21/'[1]4'!$G$22</f>
        <v>1.0283167278447825</v>
      </c>
      <c r="R21" s="176">
        <f>S21-'[1]4'!$G$22</f>
        <v>54</v>
      </c>
      <c r="S21" s="244">
        <f t="shared" si="8"/>
        <v>1961</v>
      </c>
      <c r="T21" s="212">
        <v>654</v>
      </c>
      <c r="U21" s="245">
        <f t="shared" si="9"/>
        <v>653.5</v>
      </c>
      <c r="V21" s="212">
        <v>1307</v>
      </c>
      <c r="W21" s="244">
        <f t="shared" si="10"/>
        <v>125</v>
      </c>
      <c r="X21" s="212">
        <v>42</v>
      </c>
      <c r="Y21" s="245">
        <f t="shared" si="11"/>
        <v>41.5</v>
      </c>
      <c r="Z21" s="212">
        <v>83</v>
      </c>
      <c r="AA21" s="244">
        <f t="shared" si="12"/>
        <v>0</v>
      </c>
      <c r="AB21" s="212"/>
      <c r="AC21" s="245">
        <f t="shared" si="13"/>
        <v>0</v>
      </c>
      <c r="AD21" s="212"/>
    </row>
    <row r="22" spans="1:30" ht="16.5">
      <c r="A22" s="238">
        <v>11</v>
      </c>
      <c r="B22" s="239" t="s">
        <v>363</v>
      </c>
      <c r="C22" s="240">
        <f t="shared" si="2"/>
        <v>8539</v>
      </c>
      <c r="D22" s="212">
        <v>2846</v>
      </c>
      <c r="E22" s="242">
        <f t="shared" si="3"/>
        <v>2846.5</v>
      </c>
      <c r="F22" s="212">
        <v>5693</v>
      </c>
      <c r="G22" s="240">
        <f t="shared" si="4"/>
        <v>1245</v>
      </c>
      <c r="H22" s="212">
        <v>415</v>
      </c>
      <c r="I22" s="242">
        <f t="shared" si="5"/>
        <v>415</v>
      </c>
      <c r="J22" s="212">
        <v>830</v>
      </c>
      <c r="K22" s="211">
        <f>M22/'[1]4'!$J$23</f>
        <v>0.18309859154929578</v>
      </c>
      <c r="L22" s="176">
        <f>M22-'[1]4'!$J$23</f>
        <v>-116</v>
      </c>
      <c r="M22" s="244">
        <f t="shared" si="6"/>
        <v>26</v>
      </c>
      <c r="N22" s="212">
        <v>9</v>
      </c>
      <c r="O22" s="245">
        <f t="shared" si="7"/>
        <v>8.5</v>
      </c>
      <c r="P22" s="212">
        <v>17</v>
      </c>
      <c r="Q22" s="211">
        <f>S22/'[1]4'!$G$23</f>
        <v>0.9739093242087254</v>
      </c>
      <c r="R22" s="176">
        <f>S22-'[1]4'!$G$23</f>
        <v>-61</v>
      </c>
      <c r="S22" s="244">
        <f t="shared" si="8"/>
        <v>2277</v>
      </c>
      <c r="T22" s="212">
        <v>759</v>
      </c>
      <c r="U22" s="245">
        <f t="shared" si="9"/>
        <v>759</v>
      </c>
      <c r="V22" s="212">
        <v>1518</v>
      </c>
      <c r="W22" s="244">
        <f t="shared" si="10"/>
        <v>27</v>
      </c>
      <c r="X22" s="212">
        <v>9</v>
      </c>
      <c r="Y22" s="245">
        <f t="shared" si="11"/>
        <v>9</v>
      </c>
      <c r="Z22" s="212">
        <v>18</v>
      </c>
      <c r="AA22" s="244">
        <f t="shared" si="12"/>
        <v>6</v>
      </c>
      <c r="AB22" s="212">
        <v>2</v>
      </c>
      <c r="AC22" s="245">
        <f t="shared" si="13"/>
        <v>2</v>
      </c>
      <c r="AD22" s="212">
        <v>4</v>
      </c>
    </row>
    <row r="23" spans="1:30" ht="16.5">
      <c r="A23" s="238">
        <v>12</v>
      </c>
      <c r="B23" s="239" t="s">
        <v>364</v>
      </c>
      <c r="C23" s="240">
        <f t="shared" si="2"/>
        <v>19013</v>
      </c>
      <c r="D23" s="212">
        <v>6338</v>
      </c>
      <c r="E23" s="242">
        <f t="shared" si="3"/>
        <v>6337.5</v>
      </c>
      <c r="F23" s="212">
        <v>12675</v>
      </c>
      <c r="G23" s="240">
        <f t="shared" si="4"/>
        <v>9354</v>
      </c>
      <c r="H23" s="212">
        <v>3118</v>
      </c>
      <c r="I23" s="242">
        <f t="shared" si="5"/>
        <v>3118</v>
      </c>
      <c r="J23" s="212">
        <v>6236</v>
      </c>
      <c r="K23" s="211">
        <f>M23/'[1]4'!$J$24</f>
        <v>0.3125</v>
      </c>
      <c r="L23" s="176">
        <f>M23-'[1]4'!$J$24</f>
        <v>-66</v>
      </c>
      <c r="M23" s="244">
        <f t="shared" si="6"/>
        <v>30</v>
      </c>
      <c r="N23" s="212">
        <v>10</v>
      </c>
      <c r="O23" s="245">
        <f t="shared" si="7"/>
        <v>10</v>
      </c>
      <c r="P23" s="212">
        <v>20</v>
      </c>
      <c r="Q23" s="211">
        <f>S23/'[1]4'!$G$24</f>
        <v>1.0934579439252337</v>
      </c>
      <c r="R23" s="176">
        <f>S23-'[1]4'!$G$24</f>
        <v>270</v>
      </c>
      <c r="S23" s="244">
        <f t="shared" si="8"/>
        <v>3159</v>
      </c>
      <c r="T23" s="212">
        <v>1053</v>
      </c>
      <c r="U23" s="245">
        <f t="shared" si="9"/>
        <v>1053</v>
      </c>
      <c r="V23" s="212">
        <v>2106</v>
      </c>
      <c r="W23" s="244">
        <f t="shared" si="10"/>
        <v>69</v>
      </c>
      <c r="X23" s="212">
        <v>23</v>
      </c>
      <c r="Y23" s="245">
        <f t="shared" si="11"/>
        <v>23</v>
      </c>
      <c r="Z23" s="212">
        <v>46</v>
      </c>
      <c r="AA23" s="244">
        <f t="shared" si="12"/>
        <v>5</v>
      </c>
      <c r="AB23" s="212">
        <v>2</v>
      </c>
      <c r="AC23" s="245">
        <f t="shared" si="13"/>
        <v>1.5</v>
      </c>
      <c r="AD23" s="212">
        <v>3</v>
      </c>
    </row>
    <row r="24" spans="1:30" s="247" customFormat="1" ht="16.5">
      <c r="A24" s="238">
        <v>13</v>
      </c>
      <c r="B24" s="239" t="s">
        <v>365</v>
      </c>
      <c r="C24" s="240">
        <f t="shared" si="2"/>
        <v>16524</v>
      </c>
      <c r="D24" s="212">
        <v>5508</v>
      </c>
      <c r="E24" s="242">
        <f t="shared" si="3"/>
        <v>5508</v>
      </c>
      <c r="F24" s="212">
        <v>11016</v>
      </c>
      <c r="G24" s="240">
        <f t="shared" si="4"/>
        <v>2832</v>
      </c>
      <c r="H24" s="212">
        <v>944</v>
      </c>
      <c r="I24" s="242">
        <f t="shared" si="5"/>
        <v>944</v>
      </c>
      <c r="J24" s="212">
        <v>1888</v>
      </c>
      <c r="K24" s="211">
        <f>M24/'[1]4'!$J$25</f>
        <v>0.14285714285714285</v>
      </c>
      <c r="L24" s="176">
        <f>M24-'[1]4'!$J$25</f>
        <v>-174</v>
      </c>
      <c r="M24" s="244">
        <f t="shared" si="6"/>
        <v>29</v>
      </c>
      <c r="N24" s="212">
        <v>10</v>
      </c>
      <c r="O24" s="245">
        <f t="shared" si="7"/>
        <v>9.5</v>
      </c>
      <c r="P24" s="212">
        <v>19</v>
      </c>
      <c r="Q24" s="211">
        <f>S24/'[1]4'!$G$25</f>
        <v>1.9522388059701492</v>
      </c>
      <c r="R24" s="176">
        <f>S24-'[1]4'!$G$25</f>
        <v>2552</v>
      </c>
      <c r="S24" s="244">
        <f t="shared" si="8"/>
        <v>5232</v>
      </c>
      <c r="T24" s="212">
        <v>1744</v>
      </c>
      <c r="U24" s="245">
        <f t="shared" si="9"/>
        <v>1744</v>
      </c>
      <c r="V24" s="212">
        <v>3488</v>
      </c>
      <c r="W24" s="244">
        <f t="shared" si="10"/>
        <v>297</v>
      </c>
      <c r="X24" s="212">
        <v>99</v>
      </c>
      <c r="Y24" s="245">
        <f t="shared" si="11"/>
        <v>99</v>
      </c>
      <c r="Z24" s="212">
        <v>198</v>
      </c>
      <c r="AA24" s="244">
        <f t="shared" si="12"/>
        <v>12</v>
      </c>
      <c r="AB24" s="212">
        <v>4</v>
      </c>
      <c r="AC24" s="245">
        <f t="shared" si="13"/>
        <v>4</v>
      </c>
      <c r="AD24" s="212">
        <v>8</v>
      </c>
    </row>
    <row r="25" spans="1:30" s="247" customFormat="1" ht="16.5">
      <c r="A25" s="238">
        <v>14</v>
      </c>
      <c r="B25" s="239" t="s">
        <v>366</v>
      </c>
      <c r="C25" s="240">
        <f t="shared" si="2"/>
        <v>3909</v>
      </c>
      <c r="D25" s="212">
        <v>1303</v>
      </c>
      <c r="E25" s="242">
        <f t="shared" si="3"/>
        <v>1303</v>
      </c>
      <c r="F25" s="212">
        <v>2606</v>
      </c>
      <c r="G25" s="240">
        <f t="shared" si="4"/>
        <v>975</v>
      </c>
      <c r="H25" s="212">
        <v>325</v>
      </c>
      <c r="I25" s="242">
        <f t="shared" si="5"/>
        <v>325</v>
      </c>
      <c r="J25" s="212">
        <v>650</v>
      </c>
      <c r="K25" s="211">
        <f>M25/'[1]4'!$J$26</f>
        <v>0.6666666666666666</v>
      </c>
      <c r="L25" s="176">
        <f>M25-'[1]4'!$J$26</f>
        <v>-1</v>
      </c>
      <c r="M25" s="244">
        <f t="shared" si="6"/>
        <v>2</v>
      </c>
      <c r="N25" s="212">
        <v>2</v>
      </c>
      <c r="O25" s="245">
        <f t="shared" si="7"/>
        <v>0</v>
      </c>
      <c r="P25" s="212">
        <v>0</v>
      </c>
      <c r="Q25" s="211">
        <f>S25/'[1]4'!$G$26</f>
        <v>1.168235294117647</v>
      </c>
      <c r="R25" s="176">
        <f>S25-'[1]4'!$G$26</f>
        <v>143</v>
      </c>
      <c r="S25" s="244">
        <f t="shared" si="8"/>
        <v>993</v>
      </c>
      <c r="T25" s="212">
        <v>331</v>
      </c>
      <c r="U25" s="245">
        <f t="shared" si="9"/>
        <v>331</v>
      </c>
      <c r="V25" s="212">
        <v>662</v>
      </c>
      <c r="W25" s="244">
        <f t="shared" si="10"/>
        <v>0</v>
      </c>
      <c r="X25" s="212">
        <v>0</v>
      </c>
      <c r="Y25" s="245">
        <f t="shared" si="11"/>
        <v>0</v>
      </c>
      <c r="Z25" s="212">
        <v>0</v>
      </c>
      <c r="AA25" s="244">
        <f t="shared" si="12"/>
        <v>2</v>
      </c>
      <c r="AB25" s="212">
        <v>2</v>
      </c>
      <c r="AC25" s="245">
        <f t="shared" si="13"/>
        <v>0</v>
      </c>
      <c r="AD25" s="212">
        <v>0</v>
      </c>
    </row>
    <row r="26" spans="1:30" ht="16.5">
      <c r="A26" s="238">
        <v>15</v>
      </c>
      <c r="B26" s="239" t="s">
        <v>367</v>
      </c>
      <c r="C26" s="240">
        <f t="shared" si="2"/>
        <v>8785</v>
      </c>
      <c r="D26" s="213">
        <v>2599</v>
      </c>
      <c r="E26" s="241">
        <f t="shared" si="3"/>
        <v>3093</v>
      </c>
      <c r="F26" s="213">
        <v>6186</v>
      </c>
      <c r="G26" s="240">
        <f t="shared" si="4"/>
        <v>1175</v>
      </c>
      <c r="H26" s="213">
        <v>333</v>
      </c>
      <c r="I26" s="241">
        <f t="shared" si="5"/>
        <v>421</v>
      </c>
      <c r="J26" s="213">
        <v>842</v>
      </c>
      <c r="K26" s="211">
        <f>M26/'[1]4'!$J$27</f>
        <v>0.12</v>
      </c>
      <c r="L26" s="176">
        <f>M26-'[1]4'!$J$27</f>
        <v>-88</v>
      </c>
      <c r="M26" s="244">
        <f t="shared" si="6"/>
        <v>12</v>
      </c>
      <c r="N26" s="212">
        <v>4</v>
      </c>
      <c r="O26" s="245">
        <f t="shared" si="7"/>
        <v>4</v>
      </c>
      <c r="P26" s="212">
        <v>8</v>
      </c>
      <c r="Q26" s="211">
        <f>S26/'[1]4'!$G$27</f>
        <v>1.1405797101449275</v>
      </c>
      <c r="R26" s="176">
        <f>S26-'[1]4'!$G$27</f>
        <v>291</v>
      </c>
      <c r="S26" s="244">
        <f t="shared" si="8"/>
        <v>2361</v>
      </c>
      <c r="T26" s="213">
        <v>691</v>
      </c>
      <c r="U26" s="176">
        <f t="shared" si="9"/>
        <v>835</v>
      </c>
      <c r="V26" s="213">
        <v>1670</v>
      </c>
      <c r="W26" s="244">
        <f t="shared" si="10"/>
        <v>154</v>
      </c>
      <c r="X26" s="213">
        <v>151</v>
      </c>
      <c r="Y26" s="176">
        <f t="shared" si="11"/>
        <v>1.5</v>
      </c>
      <c r="Z26" s="213">
        <v>3</v>
      </c>
      <c r="AA26" s="244">
        <f t="shared" si="12"/>
        <v>15</v>
      </c>
      <c r="AB26" s="212">
        <v>5</v>
      </c>
      <c r="AC26" s="245">
        <f t="shared" si="13"/>
        <v>5</v>
      </c>
      <c r="AD26" s="212">
        <v>10</v>
      </c>
    </row>
    <row r="27" spans="1:30" ht="16.5">
      <c r="A27" s="238">
        <v>16</v>
      </c>
      <c r="B27" s="239" t="s">
        <v>368</v>
      </c>
      <c r="C27" s="240">
        <f t="shared" si="2"/>
        <v>22982</v>
      </c>
      <c r="D27" s="212">
        <v>7661</v>
      </c>
      <c r="E27" s="242">
        <f t="shared" si="3"/>
        <v>7660.5</v>
      </c>
      <c r="F27" s="212">
        <v>15321</v>
      </c>
      <c r="G27" s="240">
        <f t="shared" si="4"/>
        <v>9617</v>
      </c>
      <c r="H27" s="212">
        <v>3206</v>
      </c>
      <c r="I27" s="242">
        <f t="shared" si="5"/>
        <v>3205.5</v>
      </c>
      <c r="J27" s="212">
        <v>6411</v>
      </c>
      <c r="K27" s="211">
        <f>M27/'[1]4'!$J$28</f>
        <v>0.34146341463414637</v>
      </c>
      <c r="L27" s="176">
        <f>M27-'[1]4'!$J$28</f>
        <v>-27</v>
      </c>
      <c r="M27" s="244">
        <f t="shared" si="6"/>
        <v>14</v>
      </c>
      <c r="N27" s="212">
        <v>5</v>
      </c>
      <c r="O27" s="245">
        <f t="shared" si="7"/>
        <v>4.5</v>
      </c>
      <c r="P27" s="212">
        <v>9</v>
      </c>
      <c r="Q27" s="211">
        <f>S27/'[1]4'!$G$28</f>
        <v>0.6320688852687922</v>
      </c>
      <c r="R27" s="176">
        <f>S27-'[1]4'!$G$28</f>
        <v>-1581</v>
      </c>
      <c r="S27" s="244">
        <f t="shared" si="8"/>
        <v>2716</v>
      </c>
      <c r="T27" s="212">
        <v>905</v>
      </c>
      <c r="U27" s="245">
        <f t="shared" si="9"/>
        <v>905.5</v>
      </c>
      <c r="V27" s="212">
        <v>1811</v>
      </c>
      <c r="W27" s="244">
        <f t="shared" si="10"/>
        <v>380</v>
      </c>
      <c r="X27" s="212">
        <v>377</v>
      </c>
      <c r="Y27" s="245">
        <f t="shared" si="11"/>
        <v>1.5</v>
      </c>
      <c r="Z27" s="212">
        <v>3</v>
      </c>
      <c r="AA27" s="244">
        <f t="shared" si="12"/>
        <v>0</v>
      </c>
      <c r="AB27" s="212">
        <v>0</v>
      </c>
      <c r="AC27" s="245">
        <f t="shared" si="13"/>
        <v>0</v>
      </c>
      <c r="AD27" s="212"/>
    </row>
    <row r="28" spans="1:30" ht="16.5">
      <c r="A28" s="238">
        <v>17</v>
      </c>
      <c r="B28" s="239" t="s">
        <v>369</v>
      </c>
      <c r="C28" s="240">
        <f t="shared" si="2"/>
        <v>6509</v>
      </c>
      <c r="D28" s="212">
        <v>2170</v>
      </c>
      <c r="E28" s="242">
        <f t="shared" si="3"/>
        <v>2169.5</v>
      </c>
      <c r="F28" s="212">
        <v>4339</v>
      </c>
      <c r="G28" s="240">
        <f t="shared" si="4"/>
        <v>362</v>
      </c>
      <c r="H28" s="212">
        <v>121</v>
      </c>
      <c r="I28" s="242">
        <f t="shared" si="5"/>
        <v>120.5</v>
      </c>
      <c r="J28" s="212">
        <v>241</v>
      </c>
      <c r="K28" s="211">
        <f>M28/'[1]4'!$J$29</f>
        <v>0.3333333333333333</v>
      </c>
      <c r="L28" s="176">
        <f>M28-'[1]4'!$J$29</f>
        <v>-8</v>
      </c>
      <c r="M28" s="244">
        <f t="shared" si="6"/>
        <v>4</v>
      </c>
      <c r="N28" s="212">
        <v>1</v>
      </c>
      <c r="O28" s="245">
        <f t="shared" si="7"/>
        <v>1.5</v>
      </c>
      <c r="P28" s="212">
        <v>3</v>
      </c>
      <c r="Q28" s="211">
        <f>S28/'[1]4'!$G$29</f>
        <v>1.1214689265536724</v>
      </c>
      <c r="R28" s="176">
        <f>S28-'[1]4'!$G$29</f>
        <v>86</v>
      </c>
      <c r="S28" s="244">
        <f t="shared" si="8"/>
        <v>794</v>
      </c>
      <c r="T28" s="212">
        <v>265</v>
      </c>
      <c r="U28" s="245">
        <f t="shared" si="9"/>
        <v>264.5</v>
      </c>
      <c r="V28" s="212">
        <v>529</v>
      </c>
      <c r="W28" s="244">
        <f t="shared" si="10"/>
        <v>3</v>
      </c>
      <c r="X28" s="212">
        <v>1</v>
      </c>
      <c r="Y28" s="245">
        <f t="shared" si="11"/>
        <v>1</v>
      </c>
      <c r="Z28" s="212">
        <v>2</v>
      </c>
      <c r="AA28" s="244">
        <f t="shared" si="12"/>
        <v>0</v>
      </c>
      <c r="AB28" s="212">
        <v>0</v>
      </c>
      <c r="AC28" s="245">
        <f t="shared" si="13"/>
        <v>0</v>
      </c>
      <c r="AD28" s="212">
        <v>0</v>
      </c>
    </row>
    <row r="29" spans="1:30" ht="16.5">
      <c r="A29" s="238">
        <v>18</v>
      </c>
      <c r="B29" s="239" t="s">
        <v>370</v>
      </c>
      <c r="C29" s="240">
        <f t="shared" si="2"/>
        <v>15432</v>
      </c>
      <c r="D29" s="212">
        <v>5144</v>
      </c>
      <c r="E29" s="242">
        <f t="shared" si="3"/>
        <v>5144</v>
      </c>
      <c r="F29" s="212">
        <v>10288</v>
      </c>
      <c r="G29" s="240">
        <f t="shared" si="4"/>
        <v>3825</v>
      </c>
      <c r="H29" s="212">
        <v>1275</v>
      </c>
      <c r="I29" s="242">
        <f t="shared" si="5"/>
        <v>1275</v>
      </c>
      <c r="J29" s="212">
        <v>2550</v>
      </c>
      <c r="K29" s="211">
        <f>M29/'[1]4'!$J$30</f>
        <v>1</v>
      </c>
      <c r="L29" s="176">
        <f>M29-'[1]4'!$J$30</f>
        <v>0</v>
      </c>
      <c r="M29" s="244">
        <f t="shared" si="6"/>
        <v>1</v>
      </c>
      <c r="N29" s="249">
        <v>0</v>
      </c>
      <c r="O29" s="245">
        <f t="shared" si="7"/>
        <v>0.5</v>
      </c>
      <c r="P29" s="212">
        <v>1</v>
      </c>
      <c r="Q29" s="211">
        <f>S29/'[1]4'!$G$30</f>
        <v>1.1679064824654624</v>
      </c>
      <c r="R29" s="176">
        <f>S29-'[1]4'!$G$30</f>
        <v>158</v>
      </c>
      <c r="S29" s="244">
        <f t="shared" si="8"/>
        <v>1099</v>
      </c>
      <c r="T29" s="212">
        <v>366</v>
      </c>
      <c r="U29" s="245">
        <f t="shared" si="9"/>
        <v>366.5</v>
      </c>
      <c r="V29" s="212">
        <v>733</v>
      </c>
      <c r="W29" s="244">
        <f t="shared" si="10"/>
        <v>6</v>
      </c>
      <c r="X29" s="212">
        <v>2</v>
      </c>
      <c r="Y29" s="245">
        <f t="shared" si="11"/>
        <v>2</v>
      </c>
      <c r="Z29" s="212">
        <v>4</v>
      </c>
      <c r="AA29" s="244">
        <f t="shared" si="12"/>
        <v>0</v>
      </c>
      <c r="AB29" s="212">
        <v>0</v>
      </c>
      <c r="AC29" s="245">
        <f t="shared" si="13"/>
        <v>0</v>
      </c>
      <c r="AD29" s="212"/>
    </row>
    <row r="30" spans="1:30" ht="16.5">
      <c r="A30" s="238">
        <v>19</v>
      </c>
      <c r="B30" s="239" t="s">
        <v>371</v>
      </c>
      <c r="C30" s="240">
        <f t="shared" si="2"/>
        <v>26209</v>
      </c>
      <c r="D30" s="212">
        <v>8736</v>
      </c>
      <c r="E30" s="242">
        <f t="shared" si="3"/>
        <v>8736.5</v>
      </c>
      <c r="F30" s="212">
        <v>17473</v>
      </c>
      <c r="G30" s="240">
        <f t="shared" si="4"/>
        <v>2892</v>
      </c>
      <c r="H30" s="212">
        <v>172</v>
      </c>
      <c r="I30" s="242">
        <f t="shared" si="5"/>
        <v>1360</v>
      </c>
      <c r="J30" s="212">
        <v>2720</v>
      </c>
      <c r="K30" s="211">
        <f>M30/'[1]4'!$J$31</f>
        <v>0.27225130890052357</v>
      </c>
      <c r="L30" s="176">
        <f>M30-'[1]4'!$J$31</f>
        <v>-278</v>
      </c>
      <c r="M30" s="244">
        <f t="shared" si="6"/>
        <v>104</v>
      </c>
      <c r="N30" s="212">
        <v>35</v>
      </c>
      <c r="O30" s="245">
        <f t="shared" si="7"/>
        <v>34.5</v>
      </c>
      <c r="P30" s="212">
        <v>69</v>
      </c>
      <c r="Q30" s="250" t="e">
        <f>S30/'[1]4'!$G$31</f>
        <v>#DIV/0!</v>
      </c>
      <c r="R30" s="176">
        <f>S30-'[1]4'!$G$31</f>
        <v>5776</v>
      </c>
      <c r="S30" s="244">
        <f t="shared" si="8"/>
        <v>5776</v>
      </c>
      <c r="T30" s="212">
        <v>1925</v>
      </c>
      <c r="U30" s="245">
        <f t="shared" si="9"/>
        <v>1925.5</v>
      </c>
      <c r="V30" s="212">
        <v>3851</v>
      </c>
      <c r="W30" s="244">
        <f t="shared" si="10"/>
        <v>14</v>
      </c>
      <c r="X30" s="212">
        <v>5</v>
      </c>
      <c r="Y30" s="245">
        <f t="shared" si="11"/>
        <v>4.5</v>
      </c>
      <c r="Z30" s="212">
        <v>9</v>
      </c>
      <c r="AA30" s="244">
        <f t="shared" si="12"/>
        <v>12</v>
      </c>
      <c r="AB30" s="212">
        <v>4</v>
      </c>
      <c r="AC30" s="245">
        <f t="shared" si="13"/>
        <v>4</v>
      </c>
      <c r="AD30" s="212">
        <v>8</v>
      </c>
    </row>
    <row r="31" spans="1:30" s="247" customFormat="1" ht="16.5">
      <c r="A31" s="238">
        <v>20</v>
      </c>
      <c r="B31" s="239" t="s">
        <v>372</v>
      </c>
      <c r="C31" s="240">
        <f t="shared" si="2"/>
        <v>17799</v>
      </c>
      <c r="D31" s="212">
        <v>5933</v>
      </c>
      <c r="E31" s="242">
        <f t="shared" si="3"/>
        <v>5933</v>
      </c>
      <c r="F31" s="212">
        <v>11866</v>
      </c>
      <c r="G31" s="240">
        <f t="shared" si="4"/>
        <v>2175</v>
      </c>
      <c r="H31" s="212">
        <v>935</v>
      </c>
      <c r="I31" s="242">
        <f t="shared" si="5"/>
        <v>620</v>
      </c>
      <c r="J31" s="212">
        <v>1240</v>
      </c>
      <c r="K31" s="211">
        <f>M31/'[1]4'!$J$32</f>
        <v>0.2231404958677686</v>
      </c>
      <c r="L31" s="176">
        <f>M31-'[1]4'!$J$32</f>
        <v>-94</v>
      </c>
      <c r="M31" s="244">
        <f t="shared" si="6"/>
        <v>27</v>
      </c>
      <c r="N31" s="212">
        <v>6</v>
      </c>
      <c r="O31" s="245">
        <f t="shared" si="7"/>
        <v>10.5</v>
      </c>
      <c r="P31" s="212">
        <v>21</v>
      </c>
      <c r="Q31" s="211">
        <f>S31/'[1]4'!$G$32</f>
        <v>1.5523982723346215</v>
      </c>
      <c r="R31" s="176">
        <f>S31-'[1]4'!$G$32</f>
        <v>2430</v>
      </c>
      <c r="S31" s="244">
        <f t="shared" si="8"/>
        <v>6829</v>
      </c>
      <c r="T31" s="212">
        <v>2276</v>
      </c>
      <c r="U31" s="245">
        <f t="shared" si="9"/>
        <v>2276.5</v>
      </c>
      <c r="V31" s="212">
        <v>4553</v>
      </c>
      <c r="W31" s="244">
        <f t="shared" si="10"/>
        <v>25</v>
      </c>
      <c r="X31" s="212">
        <v>9</v>
      </c>
      <c r="Y31" s="245">
        <f t="shared" si="11"/>
        <v>8</v>
      </c>
      <c r="Z31" s="212">
        <v>16</v>
      </c>
      <c r="AA31" s="244">
        <f t="shared" si="12"/>
        <v>4</v>
      </c>
      <c r="AB31" s="212">
        <v>1</v>
      </c>
      <c r="AC31" s="245">
        <f t="shared" si="13"/>
        <v>1.5</v>
      </c>
      <c r="AD31" s="212">
        <v>3</v>
      </c>
    </row>
    <row r="32" spans="1:30" ht="16.5">
      <c r="A32" s="238">
        <v>21</v>
      </c>
      <c r="B32" s="239" t="s">
        <v>373</v>
      </c>
      <c r="C32" s="240">
        <f t="shared" si="2"/>
        <v>17326</v>
      </c>
      <c r="D32" s="212">
        <v>5775</v>
      </c>
      <c r="E32" s="242">
        <f t="shared" si="3"/>
        <v>5775.5</v>
      </c>
      <c r="F32" s="212">
        <v>11551</v>
      </c>
      <c r="G32" s="240">
        <f t="shared" si="4"/>
        <v>1278</v>
      </c>
      <c r="H32" s="212">
        <v>426</v>
      </c>
      <c r="I32" s="242">
        <f t="shared" si="5"/>
        <v>426</v>
      </c>
      <c r="J32" s="212">
        <v>852</v>
      </c>
      <c r="K32" s="211">
        <f>M32/'[1]4'!$J$33</f>
        <v>0.15789473684210525</v>
      </c>
      <c r="L32" s="176">
        <f>M32-'[1]4'!$J$33</f>
        <v>-16</v>
      </c>
      <c r="M32" s="244">
        <f t="shared" si="6"/>
        <v>3</v>
      </c>
      <c r="N32" s="213">
        <v>1</v>
      </c>
      <c r="O32" s="245">
        <f t="shared" si="7"/>
        <v>1</v>
      </c>
      <c r="P32" s="212">
        <v>2</v>
      </c>
      <c r="Q32" s="211">
        <f>S32/'[1]4'!$G$33</f>
        <v>1.3392941176470587</v>
      </c>
      <c r="R32" s="176">
        <f>S32-'[1]4'!$G$33</f>
        <v>721</v>
      </c>
      <c r="S32" s="244">
        <f t="shared" si="8"/>
        <v>2846</v>
      </c>
      <c r="T32" s="212">
        <v>949</v>
      </c>
      <c r="U32" s="245">
        <f t="shared" si="9"/>
        <v>948.5</v>
      </c>
      <c r="V32" s="212">
        <v>1897</v>
      </c>
      <c r="W32" s="244">
        <f t="shared" si="10"/>
        <v>21</v>
      </c>
      <c r="X32" s="212">
        <v>7</v>
      </c>
      <c r="Y32" s="245">
        <f t="shared" si="11"/>
        <v>7</v>
      </c>
      <c r="Z32" s="212">
        <v>14</v>
      </c>
      <c r="AA32" s="244">
        <f t="shared" si="12"/>
        <v>0</v>
      </c>
      <c r="AB32" s="212">
        <v>0</v>
      </c>
      <c r="AC32" s="245">
        <f t="shared" si="13"/>
        <v>0</v>
      </c>
      <c r="AD32" s="212">
        <v>0</v>
      </c>
    </row>
    <row r="33" spans="1:30" ht="16.5">
      <c r="A33" s="238">
        <v>22</v>
      </c>
      <c r="B33" s="239" t="s">
        <v>374</v>
      </c>
      <c r="C33" s="240">
        <f t="shared" si="2"/>
        <v>0</v>
      </c>
      <c r="D33" s="251"/>
      <c r="E33" s="242">
        <f t="shared" si="3"/>
        <v>0</v>
      </c>
      <c r="F33" s="251"/>
      <c r="G33" s="240">
        <f t="shared" si="4"/>
        <v>0</v>
      </c>
      <c r="H33" s="251"/>
      <c r="I33" s="242">
        <f t="shared" si="5"/>
        <v>0</v>
      </c>
      <c r="J33" s="251"/>
      <c r="K33" s="211">
        <f>M33/'[1]4'!$J$34</f>
        <v>0</v>
      </c>
      <c r="L33" s="176">
        <f>M33-'[1]4'!$J$34</f>
        <v>-3</v>
      </c>
      <c r="M33" s="244">
        <f t="shared" si="6"/>
        <v>0</v>
      </c>
      <c r="N33" s="212">
        <v>0</v>
      </c>
      <c r="O33" s="245">
        <f t="shared" si="7"/>
        <v>0</v>
      </c>
      <c r="P33" s="212"/>
      <c r="Q33" s="211">
        <f>S33/'[1]4'!$G$34</f>
        <v>0</v>
      </c>
      <c r="R33" s="176">
        <f>S33-'[1]4'!$G$34</f>
        <v>-813</v>
      </c>
      <c r="S33" s="244">
        <f t="shared" si="8"/>
        <v>0</v>
      </c>
      <c r="T33" s="251"/>
      <c r="U33" s="245">
        <f t="shared" si="9"/>
        <v>0</v>
      </c>
      <c r="V33" s="251"/>
      <c r="W33" s="244">
        <f t="shared" si="10"/>
        <v>0</v>
      </c>
      <c r="X33" s="251"/>
      <c r="Y33" s="245">
        <f t="shared" si="11"/>
        <v>0</v>
      </c>
      <c r="Z33" s="251"/>
      <c r="AA33" s="244">
        <f t="shared" si="12"/>
        <v>0</v>
      </c>
      <c r="AB33" s="212">
        <v>0</v>
      </c>
      <c r="AC33" s="245">
        <f t="shared" si="13"/>
        <v>0</v>
      </c>
      <c r="AD33" s="212"/>
    </row>
    <row r="34" spans="1:30" ht="16.5">
      <c r="A34" s="238">
        <v>23</v>
      </c>
      <c r="B34" s="239" t="s">
        <v>375</v>
      </c>
      <c r="C34" s="240">
        <f t="shared" si="2"/>
        <v>11738</v>
      </c>
      <c r="D34" s="212">
        <v>3900</v>
      </c>
      <c r="E34" s="242">
        <f t="shared" si="3"/>
        <v>3919</v>
      </c>
      <c r="F34" s="212">
        <v>7838</v>
      </c>
      <c r="G34" s="240">
        <f t="shared" si="4"/>
        <v>1187</v>
      </c>
      <c r="H34" s="212">
        <v>400</v>
      </c>
      <c r="I34" s="242">
        <f t="shared" si="5"/>
        <v>393.5</v>
      </c>
      <c r="J34" s="212">
        <v>787</v>
      </c>
      <c r="K34" s="211">
        <f>M34/'[1]4'!$J$35</f>
        <v>0.35294117647058826</v>
      </c>
      <c r="L34" s="176">
        <f>M34-'[1]4'!$J$35</f>
        <v>-11</v>
      </c>
      <c r="M34" s="244">
        <f t="shared" si="6"/>
        <v>6</v>
      </c>
      <c r="N34" s="212">
        <v>2</v>
      </c>
      <c r="O34" s="245">
        <f t="shared" si="7"/>
        <v>2</v>
      </c>
      <c r="P34" s="212">
        <v>4</v>
      </c>
      <c r="Q34" s="250" t="e">
        <f>S34/'[1]4'!$G$35</f>
        <v>#DIV/0!</v>
      </c>
      <c r="R34" s="176">
        <f>S34-'[1]4'!$G$35</f>
        <v>4179</v>
      </c>
      <c r="S34" s="244">
        <f t="shared" si="8"/>
        <v>4179</v>
      </c>
      <c r="T34" s="212">
        <v>1400</v>
      </c>
      <c r="U34" s="245">
        <f t="shared" si="9"/>
        <v>1389.5</v>
      </c>
      <c r="V34" s="212">
        <v>2779</v>
      </c>
      <c r="W34" s="244">
        <f t="shared" si="10"/>
        <v>11</v>
      </c>
      <c r="X34" s="212">
        <v>4</v>
      </c>
      <c r="Y34" s="245">
        <f t="shared" si="11"/>
        <v>3.5</v>
      </c>
      <c r="Z34" s="212">
        <v>7</v>
      </c>
      <c r="AA34" s="244">
        <f t="shared" si="12"/>
        <v>1</v>
      </c>
      <c r="AB34" s="212">
        <v>0</v>
      </c>
      <c r="AC34" s="245">
        <f t="shared" si="13"/>
        <v>0.5</v>
      </c>
      <c r="AD34" s="212">
        <v>1</v>
      </c>
    </row>
    <row r="35" spans="1:30" ht="16.5">
      <c r="A35" s="238">
        <v>24</v>
      </c>
      <c r="B35" s="239" t="s">
        <v>376</v>
      </c>
      <c r="C35" s="240">
        <f t="shared" si="2"/>
        <v>84663</v>
      </c>
      <c r="D35" s="212">
        <v>28221</v>
      </c>
      <c r="E35" s="242">
        <f t="shared" si="3"/>
        <v>28221</v>
      </c>
      <c r="F35" s="212">
        <v>56442</v>
      </c>
      <c r="G35" s="240">
        <f t="shared" si="4"/>
        <v>27556.5</v>
      </c>
      <c r="H35" s="212">
        <v>7985.5</v>
      </c>
      <c r="I35" s="242">
        <f t="shared" si="5"/>
        <v>9785.5</v>
      </c>
      <c r="J35" s="252">
        <v>19571</v>
      </c>
      <c r="K35" s="211">
        <f>M35/'[1]4'!$J$36</f>
        <v>0.6188811188811189</v>
      </c>
      <c r="L35" s="176">
        <f>M35-'[1]4'!$J$36</f>
        <v>-109</v>
      </c>
      <c r="M35" s="244">
        <f t="shared" si="6"/>
        <v>177</v>
      </c>
      <c r="N35" s="248">
        <v>59</v>
      </c>
      <c r="O35" s="245">
        <f t="shared" si="7"/>
        <v>59</v>
      </c>
      <c r="P35" s="212">
        <v>118</v>
      </c>
      <c r="Q35" s="211">
        <f>S35/'[1]4'!$G$36</f>
        <v>1.275530670232325</v>
      </c>
      <c r="R35" s="176">
        <f>S35-'[1]4'!$G$36</f>
        <v>4945.5</v>
      </c>
      <c r="S35" s="244">
        <f t="shared" si="8"/>
        <v>22894.5</v>
      </c>
      <c r="T35" s="212">
        <v>7631.5</v>
      </c>
      <c r="U35" s="245">
        <f t="shared" si="9"/>
        <v>7631.5</v>
      </c>
      <c r="V35" s="212">
        <v>15263</v>
      </c>
      <c r="W35" s="244">
        <f t="shared" si="10"/>
        <v>340.5</v>
      </c>
      <c r="X35" s="212">
        <v>113.5</v>
      </c>
      <c r="Y35" s="245">
        <f t="shared" si="11"/>
        <v>113.5</v>
      </c>
      <c r="Z35" s="212">
        <v>227</v>
      </c>
      <c r="AA35" s="244">
        <f t="shared" si="12"/>
        <v>17</v>
      </c>
      <c r="AB35" s="248">
        <v>6</v>
      </c>
      <c r="AC35" s="245">
        <f t="shared" si="13"/>
        <v>5.5</v>
      </c>
      <c r="AD35" s="212">
        <v>11</v>
      </c>
    </row>
    <row r="36" spans="1:30" ht="16.5">
      <c r="A36" s="238">
        <v>25</v>
      </c>
      <c r="B36" s="239" t="s">
        <v>377</v>
      </c>
      <c r="C36" s="240">
        <f t="shared" si="2"/>
        <v>20214</v>
      </c>
      <c r="D36" s="212">
        <v>6738</v>
      </c>
      <c r="E36" s="242">
        <f t="shared" si="3"/>
        <v>6738</v>
      </c>
      <c r="F36" s="212">
        <v>13476</v>
      </c>
      <c r="G36" s="240">
        <f t="shared" si="4"/>
        <v>5477</v>
      </c>
      <c r="H36" s="212">
        <v>1826</v>
      </c>
      <c r="I36" s="242">
        <f t="shared" si="5"/>
        <v>1825.5</v>
      </c>
      <c r="J36" s="212">
        <v>3651</v>
      </c>
      <c r="K36" s="211">
        <f>M36/'[1]4'!$J$37</f>
        <v>0.21428571428571427</v>
      </c>
      <c r="L36" s="176">
        <f>M36-'[1]4'!$J$37</f>
        <v>-22</v>
      </c>
      <c r="M36" s="244">
        <f t="shared" si="6"/>
        <v>6</v>
      </c>
      <c r="N36" s="212">
        <v>2</v>
      </c>
      <c r="O36" s="245">
        <f t="shared" si="7"/>
        <v>2</v>
      </c>
      <c r="P36" s="212">
        <v>4</v>
      </c>
      <c r="Q36" s="211">
        <f>S36/'[1]4'!$G$37</f>
        <v>1.3761448792672772</v>
      </c>
      <c r="R36" s="176">
        <f>S36-'[1]4'!$G$37</f>
        <v>1807</v>
      </c>
      <c r="S36" s="244">
        <f t="shared" si="8"/>
        <v>6611</v>
      </c>
      <c r="T36" s="212">
        <v>2204</v>
      </c>
      <c r="U36" s="245">
        <f t="shared" si="9"/>
        <v>2203.5</v>
      </c>
      <c r="V36" s="212">
        <v>4407</v>
      </c>
      <c r="W36" s="244">
        <f t="shared" si="10"/>
        <v>165</v>
      </c>
      <c r="X36" s="212">
        <v>53</v>
      </c>
      <c r="Y36" s="245">
        <f t="shared" si="11"/>
        <v>56</v>
      </c>
      <c r="Z36" s="212">
        <v>112</v>
      </c>
      <c r="AA36" s="244">
        <f t="shared" si="12"/>
        <v>3</v>
      </c>
      <c r="AB36" s="212">
        <v>2</v>
      </c>
      <c r="AC36" s="245">
        <f t="shared" si="13"/>
        <v>0.5</v>
      </c>
      <c r="AD36" s="212">
        <v>1</v>
      </c>
    </row>
    <row r="37" spans="1:31" ht="16.5">
      <c r="A37" s="238">
        <v>26</v>
      </c>
      <c r="B37" s="239" t="s">
        <v>378</v>
      </c>
      <c r="C37" s="240">
        <f t="shared" si="2"/>
        <v>19740</v>
      </c>
      <c r="D37" s="248">
        <v>6580</v>
      </c>
      <c r="E37" s="242">
        <f t="shared" si="3"/>
        <v>6580</v>
      </c>
      <c r="F37" s="212">
        <v>13160</v>
      </c>
      <c r="G37" s="240">
        <f t="shared" si="4"/>
        <v>525</v>
      </c>
      <c r="H37" s="248">
        <v>175</v>
      </c>
      <c r="I37" s="242">
        <f t="shared" si="5"/>
        <v>175</v>
      </c>
      <c r="J37" s="212">
        <v>350</v>
      </c>
      <c r="K37" s="211">
        <f>M37/'[1]4'!$J$38</f>
        <v>0.5257731958762887</v>
      </c>
      <c r="L37" s="176">
        <f>M37-'[1]4'!$J$38</f>
        <v>-46</v>
      </c>
      <c r="M37" s="244">
        <f t="shared" si="6"/>
        <v>51</v>
      </c>
      <c r="N37" s="248">
        <v>17</v>
      </c>
      <c r="O37" s="245">
        <f t="shared" si="7"/>
        <v>17</v>
      </c>
      <c r="P37" s="212">
        <v>34</v>
      </c>
      <c r="Q37" s="211">
        <f>S37/'[1]4'!$G$38</f>
        <v>1.2801437556154538</v>
      </c>
      <c r="R37" s="176">
        <f>S37-'[1]4'!$G$38</f>
        <v>1559</v>
      </c>
      <c r="S37" s="244">
        <f t="shared" si="8"/>
        <v>7124</v>
      </c>
      <c r="T37" s="248">
        <v>2375</v>
      </c>
      <c r="U37" s="245">
        <f t="shared" si="9"/>
        <v>2374.5</v>
      </c>
      <c r="V37" s="212">
        <v>4749</v>
      </c>
      <c r="W37" s="244">
        <f t="shared" si="10"/>
        <v>0</v>
      </c>
      <c r="X37" s="212"/>
      <c r="Y37" s="245">
        <f t="shared" si="11"/>
        <v>0</v>
      </c>
      <c r="Z37" s="212"/>
      <c r="AA37" s="244">
        <f t="shared" si="12"/>
        <v>2</v>
      </c>
      <c r="AB37" s="248">
        <v>1</v>
      </c>
      <c r="AC37" s="245">
        <f t="shared" si="13"/>
        <v>0.5</v>
      </c>
      <c r="AD37" s="212">
        <v>1</v>
      </c>
      <c r="AE37" t="s">
        <v>578</v>
      </c>
    </row>
    <row r="38" spans="1:30" ht="16.5">
      <c r="A38" s="238">
        <v>27</v>
      </c>
      <c r="B38" s="239" t="s">
        <v>379</v>
      </c>
      <c r="C38" s="240">
        <f t="shared" si="2"/>
        <v>22136</v>
      </c>
      <c r="D38" s="212">
        <v>7379</v>
      </c>
      <c r="E38" s="242">
        <f t="shared" si="3"/>
        <v>7378.5</v>
      </c>
      <c r="F38" s="212">
        <v>14757</v>
      </c>
      <c r="G38" s="240">
        <f t="shared" si="4"/>
        <v>5502</v>
      </c>
      <c r="H38" s="212">
        <v>1834</v>
      </c>
      <c r="I38" s="242">
        <f t="shared" si="5"/>
        <v>1834</v>
      </c>
      <c r="J38" s="212">
        <v>3668</v>
      </c>
      <c r="K38" s="211">
        <f>M38/'[1]4'!$J$39</f>
        <v>0.2320675105485232</v>
      </c>
      <c r="L38" s="176">
        <f>M38-'[1]4'!$J$39</f>
        <v>-182</v>
      </c>
      <c r="M38" s="244">
        <f t="shared" si="6"/>
        <v>55</v>
      </c>
      <c r="N38" s="212">
        <v>21</v>
      </c>
      <c r="O38" s="245">
        <f t="shared" si="7"/>
        <v>17</v>
      </c>
      <c r="P38" s="212">
        <v>34</v>
      </c>
      <c r="Q38" s="211">
        <f>S38/'[1]4'!$G$39</f>
        <v>1.2685898584483069</v>
      </c>
      <c r="R38" s="176">
        <f>S38-'[1]4'!$G$39</f>
        <v>1499</v>
      </c>
      <c r="S38" s="244">
        <f t="shared" si="8"/>
        <v>7080</v>
      </c>
      <c r="T38" s="212">
        <v>2360</v>
      </c>
      <c r="U38" s="245">
        <f t="shared" si="9"/>
        <v>2360</v>
      </c>
      <c r="V38" s="212">
        <v>4720</v>
      </c>
      <c r="W38" s="244">
        <f t="shared" si="10"/>
        <v>99</v>
      </c>
      <c r="X38" s="212">
        <v>33</v>
      </c>
      <c r="Y38" s="245">
        <f t="shared" si="11"/>
        <v>33</v>
      </c>
      <c r="Z38" s="212">
        <v>66</v>
      </c>
      <c r="AA38" s="244">
        <f t="shared" si="12"/>
        <v>11</v>
      </c>
      <c r="AB38" s="212">
        <v>4</v>
      </c>
      <c r="AC38" s="245">
        <f t="shared" si="13"/>
        <v>3.5</v>
      </c>
      <c r="AD38" s="212">
        <v>7</v>
      </c>
    </row>
    <row r="39" spans="1:30" s="247" customFormat="1" ht="16.5">
      <c r="A39" s="238">
        <v>28</v>
      </c>
      <c r="B39" s="239" t="s">
        <v>380</v>
      </c>
      <c r="C39" s="240">
        <f t="shared" si="2"/>
        <v>10550</v>
      </c>
      <c r="D39" s="212">
        <v>3517</v>
      </c>
      <c r="E39" s="242">
        <f t="shared" si="3"/>
        <v>3516.5</v>
      </c>
      <c r="F39" s="212">
        <v>7033</v>
      </c>
      <c r="G39" s="240">
        <f t="shared" si="4"/>
        <v>1452</v>
      </c>
      <c r="H39" s="212">
        <v>484</v>
      </c>
      <c r="I39" s="242">
        <f t="shared" si="5"/>
        <v>484</v>
      </c>
      <c r="J39" s="212">
        <v>968</v>
      </c>
      <c r="K39" s="211">
        <f>M39/'[1]4'!$J$40</f>
        <v>0.18018018018018017</v>
      </c>
      <c r="L39" s="176">
        <f>M39-'[1]4'!$J$40</f>
        <v>-91</v>
      </c>
      <c r="M39" s="244">
        <f t="shared" si="6"/>
        <v>20</v>
      </c>
      <c r="N39" s="212">
        <v>7</v>
      </c>
      <c r="O39" s="245">
        <f t="shared" si="7"/>
        <v>6.5</v>
      </c>
      <c r="P39" s="212">
        <v>13</v>
      </c>
      <c r="Q39" s="211">
        <f>S39/'[1]4'!$G$40</f>
        <v>1.5007898894154819</v>
      </c>
      <c r="R39" s="176">
        <f>S39-'[1]4'!$G$40</f>
        <v>951</v>
      </c>
      <c r="S39" s="244">
        <f t="shared" si="8"/>
        <v>2850</v>
      </c>
      <c r="T39" s="212">
        <v>950</v>
      </c>
      <c r="U39" s="245">
        <f t="shared" si="9"/>
        <v>950</v>
      </c>
      <c r="V39" s="212">
        <v>1900</v>
      </c>
      <c r="W39" s="244">
        <f t="shared" si="10"/>
        <v>98</v>
      </c>
      <c r="X39" s="248">
        <v>33</v>
      </c>
      <c r="Y39" s="245">
        <f t="shared" si="11"/>
        <v>32.5</v>
      </c>
      <c r="Z39" s="212">
        <v>65</v>
      </c>
      <c r="AA39" s="244">
        <f t="shared" si="12"/>
        <v>2</v>
      </c>
      <c r="AB39" s="212">
        <v>1</v>
      </c>
      <c r="AC39" s="245">
        <f t="shared" si="13"/>
        <v>0.5</v>
      </c>
      <c r="AD39" s="212">
        <v>1</v>
      </c>
    </row>
    <row r="40" spans="1:30" ht="16.5">
      <c r="A40" s="238">
        <v>29</v>
      </c>
      <c r="B40" s="239" t="s">
        <v>541</v>
      </c>
      <c r="C40" s="240">
        <f t="shared" si="2"/>
        <v>8127</v>
      </c>
      <c r="D40" s="212">
        <v>2709</v>
      </c>
      <c r="E40" s="242">
        <f t="shared" si="3"/>
        <v>2709</v>
      </c>
      <c r="F40" s="212">
        <v>5418</v>
      </c>
      <c r="G40" s="240">
        <f t="shared" si="4"/>
        <v>1797</v>
      </c>
      <c r="H40" s="212">
        <v>599</v>
      </c>
      <c r="I40" s="242">
        <f t="shared" si="5"/>
        <v>599</v>
      </c>
      <c r="J40" s="212">
        <v>1198</v>
      </c>
      <c r="K40" s="211">
        <f>M40/'[1]4'!$J$41</f>
        <v>2</v>
      </c>
      <c r="L40" s="176">
        <f>M40-'[1]4'!$J$41</f>
        <v>3</v>
      </c>
      <c r="M40" s="244">
        <f t="shared" si="6"/>
        <v>6</v>
      </c>
      <c r="N40" s="212">
        <v>2</v>
      </c>
      <c r="O40" s="245">
        <f t="shared" si="7"/>
        <v>2</v>
      </c>
      <c r="P40" s="212">
        <v>4</v>
      </c>
      <c r="Q40" s="211">
        <f>S40/'[1]4'!$G$41</f>
        <v>1.1471972614462986</v>
      </c>
      <c r="R40" s="176">
        <f>S40-'[1]4'!$G$41</f>
        <v>344</v>
      </c>
      <c r="S40" s="244">
        <f t="shared" si="8"/>
        <v>2681</v>
      </c>
      <c r="T40" s="212">
        <v>894</v>
      </c>
      <c r="U40" s="245">
        <f t="shared" si="9"/>
        <v>893.5</v>
      </c>
      <c r="V40" s="212">
        <v>1787</v>
      </c>
      <c r="W40" s="244">
        <f t="shared" si="10"/>
        <v>2</v>
      </c>
      <c r="X40" s="212">
        <v>1</v>
      </c>
      <c r="Y40" s="245">
        <f t="shared" si="11"/>
        <v>0.5</v>
      </c>
      <c r="Z40" s="212">
        <v>1</v>
      </c>
      <c r="AA40" s="244">
        <f t="shared" si="12"/>
        <v>0</v>
      </c>
      <c r="AB40" s="212">
        <v>0</v>
      </c>
      <c r="AC40" s="245">
        <f t="shared" si="13"/>
        <v>0</v>
      </c>
      <c r="AD40" s="212">
        <v>0</v>
      </c>
    </row>
    <row r="41" spans="1:30" ht="16.5">
      <c r="A41" s="238">
        <v>30</v>
      </c>
      <c r="B41" s="239" t="s">
        <v>382</v>
      </c>
      <c r="C41" s="240">
        <f t="shared" si="2"/>
        <v>13925</v>
      </c>
      <c r="D41" s="212">
        <v>4642</v>
      </c>
      <c r="E41" s="242">
        <f t="shared" si="3"/>
        <v>4641.5</v>
      </c>
      <c r="F41" s="212">
        <v>9283</v>
      </c>
      <c r="G41" s="240">
        <f t="shared" si="4"/>
        <v>2334</v>
      </c>
      <c r="H41" s="212">
        <v>778</v>
      </c>
      <c r="I41" s="242">
        <f t="shared" si="5"/>
        <v>778</v>
      </c>
      <c r="J41" s="212">
        <v>1556</v>
      </c>
      <c r="K41" s="211">
        <f>M41/'[1]4'!$J$42</f>
        <v>0.375</v>
      </c>
      <c r="L41" s="176">
        <f>M41-'[1]4'!$J$42</f>
        <v>-10</v>
      </c>
      <c r="M41" s="244">
        <f t="shared" si="6"/>
        <v>6</v>
      </c>
      <c r="N41" s="212">
        <v>2</v>
      </c>
      <c r="O41" s="245">
        <f t="shared" si="7"/>
        <v>2</v>
      </c>
      <c r="P41" s="212">
        <v>4</v>
      </c>
      <c r="Q41" s="211">
        <f>S41/'[1]4'!$G$42</f>
        <v>1.2107051826677995</v>
      </c>
      <c r="R41" s="176">
        <f>S41-'[1]4'!$G$42</f>
        <v>744</v>
      </c>
      <c r="S41" s="244">
        <f t="shared" si="8"/>
        <v>4275</v>
      </c>
      <c r="T41" s="212">
        <v>1425</v>
      </c>
      <c r="U41" s="245">
        <f t="shared" si="9"/>
        <v>1425</v>
      </c>
      <c r="V41" s="212">
        <v>2850</v>
      </c>
      <c r="W41" s="244">
        <f t="shared" si="10"/>
        <v>37</v>
      </c>
      <c r="X41" s="212">
        <v>12</v>
      </c>
      <c r="Y41" s="245">
        <f t="shared" si="11"/>
        <v>12.5</v>
      </c>
      <c r="Z41" s="212">
        <v>25</v>
      </c>
      <c r="AA41" s="244">
        <f t="shared" si="12"/>
        <v>0</v>
      </c>
      <c r="AB41" s="212">
        <v>0</v>
      </c>
      <c r="AC41" s="245">
        <f t="shared" si="13"/>
        <v>0</v>
      </c>
      <c r="AD41" s="212">
        <v>0</v>
      </c>
    </row>
    <row r="42" spans="1:30" ht="16.5">
      <c r="A42" s="238">
        <v>31</v>
      </c>
      <c r="B42" s="239" t="s">
        <v>542</v>
      </c>
      <c r="C42" s="240">
        <f t="shared" si="2"/>
        <v>10553</v>
      </c>
      <c r="D42" s="212">
        <v>3519</v>
      </c>
      <c r="E42" s="242">
        <f t="shared" si="3"/>
        <v>3517</v>
      </c>
      <c r="F42" s="212">
        <v>7034</v>
      </c>
      <c r="G42" s="240">
        <f t="shared" si="4"/>
        <v>1878</v>
      </c>
      <c r="H42" s="212">
        <v>628</v>
      </c>
      <c r="I42" s="242">
        <f t="shared" si="5"/>
        <v>625</v>
      </c>
      <c r="J42" s="212">
        <v>1250</v>
      </c>
      <c r="K42" s="211">
        <f>M42/'[1]4'!$J$43</f>
        <v>0.26635514018691586</v>
      </c>
      <c r="L42" s="176">
        <f>M42-'[1]4'!$J$43</f>
        <v>-157</v>
      </c>
      <c r="M42" s="244">
        <f t="shared" si="6"/>
        <v>57</v>
      </c>
      <c r="N42" s="212">
        <v>19</v>
      </c>
      <c r="O42" s="245">
        <f t="shared" si="7"/>
        <v>19</v>
      </c>
      <c r="P42" s="212">
        <v>38</v>
      </c>
      <c r="Q42" s="211">
        <f>S42/'[1]4'!$G$43</f>
        <v>1.0759717314487633</v>
      </c>
      <c r="R42" s="176">
        <f>S42-'[1]4'!$G$43</f>
        <v>258</v>
      </c>
      <c r="S42" s="244">
        <f t="shared" si="8"/>
        <v>3654</v>
      </c>
      <c r="T42" s="212">
        <v>1267</v>
      </c>
      <c r="U42" s="245">
        <f t="shared" si="9"/>
        <v>1193.5</v>
      </c>
      <c r="V42" s="212">
        <v>2387</v>
      </c>
      <c r="W42" s="244">
        <f t="shared" si="10"/>
        <v>164</v>
      </c>
      <c r="X42" s="212">
        <v>55</v>
      </c>
      <c r="Y42" s="245">
        <f t="shared" si="11"/>
        <v>54.5</v>
      </c>
      <c r="Z42" s="212">
        <v>109</v>
      </c>
      <c r="AA42" s="244">
        <f t="shared" si="12"/>
        <v>15</v>
      </c>
      <c r="AB42" s="212">
        <v>5</v>
      </c>
      <c r="AC42" s="245">
        <f t="shared" si="13"/>
        <v>5</v>
      </c>
      <c r="AD42" s="212">
        <v>10</v>
      </c>
    </row>
    <row r="43" spans="1:30" ht="16.5">
      <c r="A43" s="238">
        <v>32</v>
      </c>
      <c r="B43" s="239" t="s">
        <v>384</v>
      </c>
      <c r="C43" s="240">
        <f t="shared" si="2"/>
        <v>17513</v>
      </c>
      <c r="D43" s="212">
        <v>5838</v>
      </c>
      <c r="E43" s="242">
        <f t="shared" si="3"/>
        <v>5837.5</v>
      </c>
      <c r="F43" s="212">
        <v>11675</v>
      </c>
      <c r="G43" s="240">
        <f t="shared" si="4"/>
        <v>2988</v>
      </c>
      <c r="H43" s="212">
        <v>996</v>
      </c>
      <c r="I43" s="242">
        <f t="shared" si="5"/>
        <v>996</v>
      </c>
      <c r="J43" s="212">
        <v>1992</v>
      </c>
      <c r="K43" s="211">
        <f>M43/'[1]4'!$J$44</f>
        <v>0.20496894409937888</v>
      </c>
      <c r="L43" s="176">
        <f>M43-'[1]4'!$J$44</f>
        <v>-128</v>
      </c>
      <c r="M43" s="244">
        <f t="shared" si="6"/>
        <v>33</v>
      </c>
      <c r="N43" s="212">
        <v>11</v>
      </c>
      <c r="O43" s="245">
        <f t="shared" si="7"/>
        <v>11</v>
      </c>
      <c r="P43" s="212">
        <v>22</v>
      </c>
      <c r="Q43" s="211">
        <f>S43/'[1]4'!$G$44</f>
        <v>1.237570545552271</v>
      </c>
      <c r="R43" s="176">
        <f>S43-'[1]4'!$G$44</f>
        <v>884</v>
      </c>
      <c r="S43" s="244">
        <f t="shared" si="8"/>
        <v>4605</v>
      </c>
      <c r="T43" s="212">
        <v>1535</v>
      </c>
      <c r="U43" s="245">
        <f t="shared" si="9"/>
        <v>1535</v>
      </c>
      <c r="V43" s="212">
        <v>3070</v>
      </c>
      <c r="W43" s="244">
        <f t="shared" si="10"/>
        <v>31.5</v>
      </c>
      <c r="X43" s="212">
        <v>10.5</v>
      </c>
      <c r="Y43" s="245">
        <f t="shared" si="11"/>
        <v>10.5</v>
      </c>
      <c r="Z43" s="212">
        <v>21</v>
      </c>
      <c r="AA43" s="244">
        <f t="shared" si="12"/>
        <v>21</v>
      </c>
      <c r="AB43" s="212">
        <v>7</v>
      </c>
      <c r="AC43" s="245">
        <f t="shared" si="13"/>
        <v>7</v>
      </c>
      <c r="AD43" s="212">
        <v>14</v>
      </c>
    </row>
    <row r="44" spans="1:30" ht="16.5">
      <c r="A44" s="238">
        <v>33</v>
      </c>
      <c r="B44" s="239" t="s">
        <v>385</v>
      </c>
      <c r="C44" s="240">
        <f aca="true" t="shared" si="14" ref="C44:C74">D44+F44</f>
        <v>7118</v>
      </c>
      <c r="D44" s="212">
        <v>2373</v>
      </c>
      <c r="E44" s="242">
        <f aca="true" t="shared" si="15" ref="E44:E74">(F44/4)*2</f>
        <v>2372.5</v>
      </c>
      <c r="F44" s="212">
        <v>4745</v>
      </c>
      <c r="G44" s="240">
        <f aca="true" t="shared" si="16" ref="G44:G74">H44+J44</f>
        <v>321</v>
      </c>
      <c r="H44" s="212">
        <v>107</v>
      </c>
      <c r="I44" s="242">
        <f aca="true" t="shared" si="17" ref="I44:I74">(J44/4)*2</f>
        <v>107</v>
      </c>
      <c r="J44" s="212">
        <v>214</v>
      </c>
      <c r="K44" s="211">
        <f>M44/'[1]4'!$J$45</f>
        <v>0.6</v>
      </c>
      <c r="L44" s="176">
        <f>M44-'[1]4'!$J$45</f>
        <v>-2</v>
      </c>
      <c r="M44" s="244">
        <f aca="true" t="shared" si="18" ref="M44:M74">N44+P44</f>
        <v>3</v>
      </c>
      <c r="N44" s="212">
        <v>2</v>
      </c>
      <c r="O44" s="245">
        <f aca="true" t="shared" si="19" ref="O44:O74">(P44/4)*2</f>
        <v>0.5</v>
      </c>
      <c r="P44" s="212">
        <v>1</v>
      </c>
      <c r="Q44" s="211">
        <f>S44/'[1]4'!$G$45</f>
        <v>1.4049493813273342</v>
      </c>
      <c r="R44" s="176">
        <f>S44-'[1]4'!$G$45</f>
        <v>360</v>
      </c>
      <c r="S44" s="244">
        <f aca="true" t="shared" si="20" ref="S44:S74">T44+V44</f>
        <v>1249</v>
      </c>
      <c r="T44" s="212">
        <v>416</v>
      </c>
      <c r="U44" s="245">
        <f aca="true" t="shared" si="21" ref="U44:U74">(V44/4)*2</f>
        <v>416.5</v>
      </c>
      <c r="V44" s="212">
        <v>833</v>
      </c>
      <c r="W44" s="244">
        <f aca="true" t="shared" si="22" ref="W44:W74">X44+Z44</f>
        <v>5</v>
      </c>
      <c r="X44" s="212">
        <v>2</v>
      </c>
      <c r="Y44" s="245">
        <f aca="true" t="shared" si="23" ref="Y44:Y74">(Z44/4)*2</f>
        <v>1.5</v>
      </c>
      <c r="Z44" s="212">
        <v>3</v>
      </c>
      <c r="AA44" s="244">
        <f aca="true" t="shared" si="24" ref="AA44:AA74">AB44+AD44</f>
        <v>0</v>
      </c>
      <c r="AB44" s="212">
        <v>0</v>
      </c>
      <c r="AC44" s="245">
        <f aca="true" t="shared" si="25" ref="AC44:AC74">(AD44/4)*2</f>
        <v>0</v>
      </c>
      <c r="AD44" s="212">
        <v>0</v>
      </c>
    </row>
    <row r="45" spans="1:31" ht="16.5">
      <c r="A45" s="238">
        <v>34</v>
      </c>
      <c r="B45" s="239" t="s">
        <v>386</v>
      </c>
      <c r="C45" s="240">
        <f t="shared" si="14"/>
        <v>7030.5</v>
      </c>
      <c r="D45" s="212">
        <v>2343.5</v>
      </c>
      <c r="E45" s="242">
        <f t="shared" si="15"/>
        <v>2343.5</v>
      </c>
      <c r="F45" s="212">
        <v>4687</v>
      </c>
      <c r="G45" s="240">
        <f t="shared" si="16"/>
        <v>1295</v>
      </c>
      <c r="H45" s="248">
        <v>432</v>
      </c>
      <c r="I45" s="242">
        <f t="shared" si="17"/>
        <v>431.5</v>
      </c>
      <c r="J45" s="212">
        <v>863</v>
      </c>
      <c r="K45" s="250" t="e">
        <f>M45/'[1]4'!$J$46</f>
        <v>#DIV/0!</v>
      </c>
      <c r="L45" s="176">
        <f>M45-'[1]4'!$J$46</f>
        <v>0</v>
      </c>
      <c r="M45" s="244">
        <f t="shared" si="18"/>
        <v>0</v>
      </c>
      <c r="N45" s="251"/>
      <c r="O45" s="245">
        <f t="shared" si="19"/>
        <v>0</v>
      </c>
      <c r="P45" s="251"/>
      <c r="Q45" s="211">
        <f>S45/'[1]4'!$G$46</f>
        <v>1.3930817610062893</v>
      </c>
      <c r="R45" s="176">
        <f>S45-'[1]4'!$G$46</f>
        <v>187.5</v>
      </c>
      <c r="S45" s="244">
        <f t="shared" si="20"/>
        <v>664.5</v>
      </c>
      <c r="T45" s="212">
        <v>221.5</v>
      </c>
      <c r="U45" s="245">
        <f t="shared" si="21"/>
        <v>221.5</v>
      </c>
      <c r="V45" s="212">
        <v>443</v>
      </c>
      <c r="W45" s="244">
        <f t="shared" si="22"/>
        <v>0</v>
      </c>
      <c r="X45" s="212"/>
      <c r="Y45" s="245">
        <f t="shared" si="23"/>
        <v>0</v>
      </c>
      <c r="Z45" s="212"/>
      <c r="AA45" s="244">
        <f t="shared" si="24"/>
        <v>0</v>
      </c>
      <c r="AB45" s="251"/>
      <c r="AC45" s="245">
        <f t="shared" si="25"/>
        <v>0</v>
      </c>
      <c r="AD45" s="251"/>
      <c r="AE45" t="s">
        <v>579</v>
      </c>
    </row>
    <row r="46" spans="1:30" ht="16.5">
      <c r="A46" s="238">
        <v>35</v>
      </c>
      <c r="B46" s="239" t="s">
        <v>387</v>
      </c>
      <c r="C46" s="240">
        <f t="shared" si="14"/>
        <v>16263</v>
      </c>
      <c r="D46" s="212">
        <v>5421</v>
      </c>
      <c r="E46" s="242">
        <f t="shared" si="15"/>
        <v>5421</v>
      </c>
      <c r="F46" s="212">
        <v>10842</v>
      </c>
      <c r="G46" s="240">
        <f t="shared" si="16"/>
        <v>2471</v>
      </c>
      <c r="H46" s="212">
        <v>824</v>
      </c>
      <c r="I46" s="242">
        <f t="shared" si="17"/>
        <v>823.5</v>
      </c>
      <c r="J46" s="212">
        <v>1647</v>
      </c>
      <c r="K46" s="211">
        <f>M46/'[1]4'!$J$47</f>
        <v>0.3</v>
      </c>
      <c r="L46" s="176">
        <f>M46-'[1]4'!$J$47</f>
        <v>-63</v>
      </c>
      <c r="M46" s="244">
        <f t="shared" si="18"/>
        <v>27</v>
      </c>
      <c r="N46" s="212">
        <v>9</v>
      </c>
      <c r="O46" s="245">
        <f t="shared" si="19"/>
        <v>9</v>
      </c>
      <c r="P46" s="212">
        <v>18</v>
      </c>
      <c r="Q46" s="250" t="e">
        <f>S46/'[1]4'!$G$47</f>
        <v>#DIV/0!</v>
      </c>
      <c r="R46" s="176">
        <f>S46-'[1]4'!$G$47</f>
        <v>3481</v>
      </c>
      <c r="S46" s="244">
        <f t="shared" si="20"/>
        <v>3481</v>
      </c>
      <c r="T46" s="212">
        <v>1027</v>
      </c>
      <c r="U46" s="245">
        <f t="shared" si="21"/>
        <v>1227</v>
      </c>
      <c r="V46" s="212">
        <v>2454</v>
      </c>
      <c r="W46" s="244">
        <f t="shared" si="22"/>
        <v>26</v>
      </c>
      <c r="X46" s="212">
        <v>9</v>
      </c>
      <c r="Y46" s="245">
        <f t="shared" si="23"/>
        <v>8.5</v>
      </c>
      <c r="Z46" s="212">
        <v>17</v>
      </c>
      <c r="AA46" s="244">
        <f t="shared" si="24"/>
        <v>3</v>
      </c>
      <c r="AB46" s="212">
        <v>1</v>
      </c>
      <c r="AC46" s="245">
        <f t="shared" si="25"/>
        <v>1</v>
      </c>
      <c r="AD46" s="212">
        <v>2</v>
      </c>
    </row>
    <row r="47" spans="1:30" ht="16.5">
      <c r="A47" s="238">
        <v>36</v>
      </c>
      <c r="B47" s="239" t="s">
        <v>388</v>
      </c>
      <c r="C47" s="240">
        <f t="shared" si="14"/>
        <v>7310</v>
      </c>
      <c r="D47" s="212">
        <v>2437</v>
      </c>
      <c r="E47" s="242">
        <f t="shared" si="15"/>
        <v>2436.5</v>
      </c>
      <c r="F47" s="212">
        <v>4873</v>
      </c>
      <c r="G47" s="240">
        <f t="shared" si="16"/>
        <v>2924</v>
      </c>
      <c r="H47" s="212">
        <v>975</v>
      </c>
      <c r="I47" s="242">
        <f t="shared" si="17"/>
        <v>974.5</v>
      </c>
      <c r="J47" s="212">
        <v>1949</v>
      </c>
      <c r="K47" s="211">
        <f>M47/'[1]4'!$J$48</f>
        <v>0</v>
      </c>
      <c r="L47" s="176">
        <f>M47-'[1]4'!$J$48</f>
        <v>-7</v>
      </c>
      <c r="M47" s="244">
        <f t="shared" si="18"/>
        <v>0</v>
      </c>
      <c r="N47" s="212">
        <v>0</v>
      </c>
      <c r="O47" s="245">
        <f t="shared" si="19"/>
        <v>0</v>
      </c>
      <c r="P47" s="212"/>
      <c r="Q47" s="211">
        <f>S47/'[1]4'!$G$48</f>
        <v>1.1693509028794533</v>
      </c>
      <c r="R47" s="176">
        <f>S47-'[1]4'!$G$48</f>
        <v>347</v>
      </c>
      <c r="S47" s="244">
        <f t="shared" si="20"/>
        <v>2396</v>
      </c>
      <c r="T47" s="212">
        <v>799</v>
      </c>
      <c r="U47" s="245">
        <f t="shared" si="21"/>
        <v>798.5</v>
      </c>
      <c r="V47" s="212">
        <v>1597</v>
      </c>
      <c r="W47" s="244">
        <f t="shared" si="22"/>
        <v>6</v>
      </c>
      <c r="X47" s="212">
        <v>2</v>
      </c>
      <c r="Y47" s="245">
        <f t="shared" si="23"/>
        <v>2</v>
      </c>
      <c r="Z47" s="212">
        <v>4</v>
      </c>
      <c r="AA47" s="244">
        <f t="shared" si="24"/>
        <v>0</v>
      </c>
      <c r="AB47" s="212">
        <v>0</v>
      </c>
      <c r="AC47" s="245">
        <f t="shared" si="25"/>
        <v>0</v>
      </c>
      <c r="AD47" s="212">
        <v>0</v>
      </c>
    </row>
    <row r="48" spans="1:30" ht="16.5">
      <c r="A48" s="238">
        <v>37</v>
      </c>
      <c r="B48" s="239" t="s">
        <v>389</v>
      </c>
      <c r="C48" s="240">
        <f t="shared" si="14"/>
        <v>8565</v>
      </c>
      <c r="D48" s="212">
        <v>2855</v>
      </c>
      <c r="E48" s="242">
        <f t="shared" si="15"/>
        <v>2855</v>
      </c>
      <c r="F48" s="212">
        <v>5710</v>
      </c>
      <c r="G48" s="240">
        <f t="shared" si="16"/>
        <v>1625</v>
      </c>
      <c r="H48" s="212">
        <v>542</v>
      </c>
      <c r="I48" s="242">
        <f t="shared" si="17"/>
        <v>541.5</v>
      </c>
      <c r="J48" s="212">
        <v>1083</v>
      </c>
      <c r="K48" s="211">
        <f>M48/'[1]4'!$J$49</f>
        <v>1.375</v>
      </c>
      <c r="L48" s="176">
        <f>M48-'[1]4'!$J$49</f>
        <v>3</v>
      </c>
      <c r="M48" s="244">
        <f t="shared" si="18"/>
        <v>11</v>
      </c>
      <c r="N48" s="212">
        <v>4</v>
      </c>
      <c r="O48" s="245">
        <f t="shared" si="19"/>
        <v>3.5</v>
      </c>
      <c r="P48" s="212">
        <v>7</v>
      </c>
      <c r="Q48" s="211">
        <f>S48/'[1]4'!$G$49</f>
        <v>1.5816023738872405</v>
      </c>
      <c r="R48" s="176">
        <f>S48-'[1]4'!$G$49</f>
        <v>588</v>
      </c>
      <c r="S48" s="244">
        <f t="shared" si="20"/>
        <v>1599</v>
      </c>
      <c r="T48" s="212">
        <v>533</v>
      </c>
      <c r="U48" s="245">
        <f t="shared" si="21"/>
        <v>533</v>
      </c>
      <c r="V48" s="212">
        <v>1066</v>
      </c>
      <c r="W48" s="244">
        <f t="shared" si="22"/>
        <v>5</v>
      </c>
      <c r="X48" s="212">
        <v>2</v>
      </c>
      <c r="Y48" s="245">
        <f t="shared" si="23"/>
        <v>1.5</v>
      </c>
      <c r="Z48" s="212">
        <v>3</v>
      </c>
      <c r="AA48" s="244">
        <f t="shared" si="24"/>
        <v>3</v>
      </c>
      <c r="AB48" s="212">
        <v>1</v>
      </c>
      <c r="AC48" s="245">
        <f t="shared" si="25"/>
        <v>1</v>
      </c>
      <c r="AD48" s="212">
        <v>2</v>
      </c>
    </row>
    <row r="49" spans="1:30" ht="16.5">
      <c r="A49" s="238">
        <v>38</v>
      </c>
      <c r="B49" s="239" t="s">
        <v>390</v>
      </c>
      <c r="C49" s="240">
        <f t="shared" si="14"/>
        <v>14313</v>
      </c>
      <c r="D49" s="212">
        <v>4771</v>
      </c>
      <c r="E49" s="242">
        <f t="shared" si="15"/>
        <v>4771</v>
      </c>
      <c r="F49" s="212">
        <v>9542</v>
      </c>
      <c r="G49" s="240">
        <f t="shared" si="16"/>
        <v>1791</v>
      </c>
      <c r="H49" s="212">
        <v>597</v>
      </c>
      <c r="I49" s="242">
        <f t="shared" si="17"/>
        <v>597</v>
      </c>
      <c r="J49" s="212">
        <v>1194</v>
      </c>
      <c r="K49" s="211">
        <f>M49/'[1]4'!$J$50</f>
        <v>0.28735632183908044</v>
      </c>
      <c r="L49" s="176">
        <f>M49-'[1]4'!$J$50</f>
        <v>-62</v>
      </c>
      <c r="M49" s="244">
        <f t="shared" si="18"/>
        <v>25</v>
      </c>
      <c r="N49" s="212">
        <v>8</v>
      </c>
      <c r="O49" s="245">
        <f t="shared" si="19"/>
        <v>8.5</v>
      </c>
      <c r="P49" s="212">
        <v>17</v>
      </c>
      <c r="Q49" s="211">
        <f>S49/'[1]4'!$G$50</f>
        <v>1.5340447154471544</v>
      </c>
      <c r="R49" s="176">
        <f>S49-'[1]4'!$G$50</f>
        <v>2102</v>
      </c>
      <c r="S49" s="244">
        <f t="shared" si="20"/>
        <v>6038</v>
      </c>
      <c r="T49" s="212">
        <v>2013</v>
      </c>
      <c r="U49" s="245">
        <f t="shared" si="21"/>
        <v>2012.5</v>
      </c>
      <c r="V49" s="212">
        <v>4025</v>
      </c>
      <c r="W49" s="244">
        <f t="shared" si="22"/>
        <v>41</v>
      </c>
      <c r="X49" s="212">
        <v>14</v>
      </c>
      <c r="Y49" s="245">
        <f t="shared" si="23"/>
        <v>13.5</v>
      </c>
      <c r="Z49" s="212">
        <v>27</v>
      </c>
      <c r="AA49" s="244">
        <f t="shared" si="24"/>
        <v>3</v>
      </c>
      <c r="AB49" s="212">
        <v>1</v>
      </c>
      <c r="AC49" s="245">
        <f t="shared" si="25"/>
        <v>1</v>
      </c>
      <c r="AD49" s="212">
        <v>2</v>
      </c>
    </row>
    <row r="50" spans="1:30" ht="16.5">
      <c r="A50" s="238">
        <v>39</v>
      </c>
      <c r="B50" s="239" t="s">
        <v>391</v>
      </c>
      <c r="C50" s="240">
        <f t="shared" si="14"/>
        <v>17284</v>
      </c>
      <c r="D50" s="212">
        <v>5761</v>
      </c>
      <c r="E50" s="242">
        <f t="shared" si="15"/>
        <v>5761.5</v>
      </c>
      <c r="F50" s="212">
        <v>11523</v>
      </c>
      <c r="G50" s="240">
        <f t="shared" si="16"/>
        <v>1111</v>
      </c>
      <c r="H50" s="212">
        <v>370</v>
      </c>
      <c r="I50" s="242">
        <f t="shared" si="17"/>
        <v>370.5</v>
      </c>
      <c r="J50" s="212">
        <v>741</v>
      </c>
      <c r="K50" s="211">
        <f>M50/'[1]4'!$J$51</f>
        <v>0.17142857142857143</v>
      </c>
      <c r="L50" s="176">
        <f>M50-'[1]4'!$J$51</f>
        <v>-29</v>
      </c>
      <c r="M50" s="244">
        <f t="shared" si="18"/>
        <v>6</v>
      </c>
      <c r="N50" s="213">
        <v>2</v>
      </c>
      <c r="O50" s="245">
        <f t="shared" si="19"/>
        <v>2</v>
      </c>
      <c r="P50" s="212">
        <v>4</v>
      </c>
      <c r="Q50" s="211">
        <f>S50/'[1]4'!$G$51</f>
        <v>0.7705530642750373</v>
      </c>
      <c r="R50" s="176">
        <f>S50-'[1]4'!$G$51</f>
        <v>-921</v>
      </c>
      <c r="S50" s="244">
        <f t="shared" si="20"/>
        <v>3093</v>
      </c>
      <c r="T50" s="212">
        <v>1031</v>
      </c>
      <c r="U50" s="245">
        <f t="shared" si="21"/>
        <v>1031</v>
      </c>
      <c r="V50" s="212">
        <v>2062</v>
      </c>
      <c r="W50" s="244">
        <f t="shared" si="22"/>
        <v>12</v>
      </c>
      <c r="X50" s="212">
        <v>4</v>
      </c>
      <c r="Y50" s="245">
        <f t="shared" si="23"/>
        <v>4</v>
      </c>
      <c r="Z50" s="212">
        <v>8</v>
      </c>
      <c r="AA50" s="244">
        <f t="shared" si="24"/>
        <v>0</v>
      </c>
      <c r="AB50" s="213">
        <v>0</v>
      </c>
      <c r="AC50" s="245">
        <f t="shared" si="25"/>
        <v>0</v>
      </c>
      <c r="AD50" s="212"/>
    </row>
    <row r="51" spans="1:30" ht="16.5">
      <c r="A51" s="238">
        <v>40</v>
      </c>
      <c r="B51" s="239" t="s">
        <v>392</v>
      </c>
      <c r="C51" s="240">
        <f t="shared" si="14"/>
        <v>42545</v>
      </c>
      <c r="D51" s="212">
        <v>14182</v>
      </c>
      <c r="E51" s="242">
        <f t="shared" si="15"/>
        <v>14181.5</v>
      </c>
      <c r="F51" s="212">
        <v>28363</v>
      </c>
      <c r="G51" s="240">
        <f t="shared" si="16"/>
        <v>9423</v>
      </c>
      <c r="H51" s="212">
        <v>3141</v>
      </c>
      <c r="I51" s="242">
        <f t="shared" si="17"/>
        <v>3141</v>
      </c>
      <c r="J51" s="212">
        <v>6282</v>
      </c>
      <c r="K51" s="211">
        <f>M51/'[1]4'!$J$52</f>
        <v>0.18032786885245902</v>
      </c>
      <c r="L51" s="176">
        <f>M51-'[1]4'!$J$52</f>
        <v>-50</v>
      </c>
      <c r="M51" s="244">
        <f t="shared" si="18"/>
        <v>11</v>
      </c>
      <c r="N51" s="212">
        <v>4</v>
      </c>
      <c r="O51" s="245">
        <f t="shared" si="19"/>
        <v>3.5</v>
      </c>
      <c r="P51" s="212">
        <v>7</v>
      </c>
      <c r="Q51" s="211">
        <f>S51/'[1]4'!$G$52</f>
        <v>0.6264929424538545</v>
      </c>
      <c r="R51" s="176">
        <f>S51-'[1]4'!$G$52</f>
        <v>-6880</v>
      </c>
      <c r="S51" s="244">
        <f t="shared" si="20"/>
        <v>11540</v>
      </c>
      <c r="T51" s="212">
        <v>3847</v>
      </c>
      <c r="U51" s="245">
        <f t="shared" si="21"/>
        <v>3846.5</v>
      </c>
      <c r="V51" s="212">
        <v>7693</v>
      </c>
      <c r="W51" s="244">
        <f t="shared" si="22"/>
        <v>281</v>
      </c>
      <c r="X51" s="212">
        <v>94</v>
      </c>
      <c r="Y51" s="245">
        <f t="shared" si="23"/>
        <v>93.5</v>
      </c>
      <c r="Z51" s="212">
        <v>187</v>
      </c>
      <c r="AA51" s="244">
        <f t="shared" si="24"/>
        <v>0</v>
      </c>
      <c r="AB51" s="212">
        <v>0</v>
      </c>
      <c r="AC51" s="245">
        <f t="shared" si="25"/>
        <v>0</v>
      </c>
      <c r="AD51" s="212">
        <v>0</v>
      </c>
    </row>
    <row r="52" spans="1:30" ht="16.5">
      <c r="A52" s="238">
        <v>41</v>
      </c>
      <c r="B52" s="239" t="s">
        <v>545</v>
      </c>
      <c r="C52" s="240">
        <f t="shared" si="14"/>
        <v>13812</v>
      </c>
      <c r="D52" s="212">
        <v>4604</v>
      </c>
      <c r="E52" s="242">
        <f t="shared" si="15"/>
        <v>4604</v>
      </c>
      <c r="F52" s="212">
        <v>9208</v>
      </c>
      <c r="G52" s="240">
        <f t="shared" si="16"/>
        <v>4024</v>
      </c>
      <c r="H52" s="212">
        <v>1340</v>
      </c>
      <c r="I52" s="242">
        <f t="shared" si="17"/>
        <v>1342</v>
      </c>
      <c r="J52" s="212">
        <v>2684</v>
      </c>
      <c r="K52" s="211">
        <f>M52/'[1]4'!$J$53</f>
        <v>0.15789473684210525</v>
      </c>
      <c r="L52" s="176">
        <f>M52-'[1]4'!$J$53</f>
        <v>-16</v>
      </c>
      <c r="M52" s="244">
        <f t="shared" si="18"/>
        <v>3</v>
      </c>
      <c r="N52" s="212">
        <v>1</v>
      </c>
      <c r="O52" s="245">
        <f t="shared" si="19"/>
        <v>1</v>
      </c>
      <c r="P52" s="212">
        <v>2</v>
      </c>
      <c r="Q52" s="211">
        <f>S52/'[1]4'!$G$53</f>
        <v>0.9115767045454546</v>
      </c>
      <c r="R52" s="176">
        <f>S52-'[1]4'!$G$53</f>
        <v>-249</v>
      </c>
      <c r="S52" s="244">
        <f t="shared" si="20"/>
        <v>2567</v>
      </c>
      <c r="T52" s="212">
        <v>6</v>
      </c>
      <c r="U52" s="245">
        <f t="shared" si="21"/>
        <v>1280.5</v>
      </c>
      <c r="V52" s="212">
        <v>2561</v>
      </c>
      <c r="W52" s="244">
        <f t="shared" si="22"/>
        <v>20</v>
      </c>
      <c r="X52" s="212">
        <v>7</v>
      </c>
      <c r="Y52" s="245">
        <f t="shared" si="23"/>
        <v>6.5</v>
      </c>
      <c r="Z52" s="212">
        <v>13</v>
      </c>
      <c r="AA52" s="244">
        <f t="shared" si="24"/>
        <v>0</v>
      </c>
      <c r="AB52" s="212">
        <v>0</v>
      </c>
      <c r="AC52" s="245">
        <f t="shared" si="25"/>
        <v>0</v>
      </c>
      <c r="AD52" s="212"/>
    </row>
    <row r="53" spans="1:30" ht="16.5">
      <c r="A53" s="238">
        <v>42</v>
      </c>
      <c r="B53" s="239" t="s">
        <v>394</v>
      </c>
      <c r="C53" s="240">
        <f t="shared" si="14"/>
        <v>4184</v>
      </c>
      <c r="D53" s="212">
        <v>1395</v>
      </c>
      <c r="E53" s="242">
        <f t="shared" si="15"/>
        <v>1394.5</v>
      </c>
      <c r="F53" s="212">
        <v>2789</v>
      </c>
      <c r="G53" s="240">
        <f t="shared" si="16"/>
        <v>719</v>
      </c>
      <c r="H53" s="212">
        <v>240</v>
      </c>
      <c r="I53" s="242">
        <f t="shared" si="17"/>
        <v>239.5</v>
      </c>
      <c r="J53" s="212">
        <v>479</v>
      </c>
      <c r="K53" s="211">
        <f>M53/'[1]4'!$J$54</f>
        <v>0.09302325581395349</v>
      </c>
      <c r="L53" s="176">
        <f>M53-'[1]4'!$J$54</f>
        <v>-39</v>
      </c>
      <c r="M53" s="244">
        <f t="shared" si="18"/>
        <v>4</v>
      </c>
      <c r="N53" s="212">
        <v>1</v>
      </c>
      <c r="O53" s="245">
        <f t="shared" si="19"/>
        <v>1.5</v>
      </c>
      <c r="P53" s="212">
        <v>3</v>
      </c>
      <c r="Q53" s="211">
        <f>S53/'[1]4'!$G$54</f>
        <v>0.9383852691218131</v>
      </c>
      <c r="R53" s="176">
        <f>S53-'[1]4'!$G$54</f>
        <v>-87</v>
      </c>
      <c r="S53" s="244">
        <f t="shared" si="20"/>
        <v>1325</v>
      </c>
      <c r="T53" s="212">
        <v>442</v>
      </c>
      <c r="U53" s="245">
        <f t="shared" si="21"/>
        <v>441.5</v>
      </c>
      <c r="V53" s="212">
        <v>883</v>
      </c>
      <c r="W53" s="244">
        <f t="shared" si="22"/>
        <v>51</v>
      </c>
      <c r="X53" s="212">
        <v>17</v>
      </c>
      <c r="Y53" s="245">
        <f t="shared" si="23"/>
        <v>17</v>
      </c>
      <c r="Z53" s="212">
        <v>34</v>
      </c>
      <c r="AA53" s="244">
        <f t="shared" si="24"/>
        <v>4</v>
      </c>
      <c r="AB53" s="212">
        <v>1</v>
      </c>
      <c r="AC53" s="245">
        <f t="shared" si="25"/>
        <v>1.5</v>
      </c>
      <c r="AD53" s="212">
        <v>3</v>
      </c>
    </row>
    <row r="54" spans="1:30" ht="16.5">
      <c r="A54" s="238">
        <v>43</v>
      </c>
      <c r="B54" s="239" t="s">
        <v>395</v>
      </c>
      <c r="C54" s="240">
        <f t="shared" si="14"/>
        <v>17805</v>
      </c>
      <c r="D54" s="212">
        <v>5935</v>
      </c>
      <c r="E54" s="242">
        <f t="shared" si="15"/>
        <v>5935</v>
      </c>
      <c r="F54" s="212">
        <v>11870</v>
      </c>
      <c r="G54" s="240">
        <f t="shared" si="16"/>
        <v>3109</v>
      </c>
      <c r="H54" s="212">
        <v>1036</v>
      </c>
      <c r="I54" s="242">
        <f t="shared" si="17"/>
        <v>1036.5</v>
      </c>
      <c r="J54" s="212">
        <v>2073</v>
      </c>
      <c r="K54" s="211">
        <f>M54/'[1]4'!$J$55</f>
        <v>0.21052631578947367</v>
      </c>
      <c r="L54" s="176">
        <f>M54-'[1]4'!$J$55</f>
        <v>-30</v>
      </c>
      <c r="M54" s="244">
        <f t="shared" si="18"/>
        <v>8</v>
      </c>
      <c r="N54" s="212">
        <v>3</v>
      </c>
      <c r="O54" s="245">
        <f t="shared" si="19"/>
        <v>2.5</v>
      </c>
      <c r="P54" s="212">
        <v>5</v>
      </c>
      <c r="Q54" s="211">
        <f>S54/'[1]4'!$G$55</f>
        <v>1.121852970795569</v>
      </c>
      <c r="R54" s="176">
        <f>S54-'[1]4'!$G$55</f>
        <v>484</v>
      </c>
      <c r="S54" s="244">
        <f t="shared" si="20"/>
        <v>4456</v>
      </c>
      <c r="T54" s="212">
        <v>1485</v>
      </c>
      <c r="U54" s="245">
        <f t="shared" si="21"/>
        <v>1485.5</v>
      </c>
      <c r="V54" s="212">
        <v>2971</v>
      </c>
      <c r="W54" s="244">
        <f t="shared" si="22"/>
        <v>93</v>
      </c>
      <c r="X54" s="212">
        <v>31</v>
      </c>
      <c r="Y54" s="245">
        <f t="shared" si="23"/>
        <v>31</v>
      </c>
      <c r="Z54" s="212">
        <v>62</v>
      </c>
      <c r="AA54" s="244">
        <f t="shared" si="24"/>
        <v>0</v>
      </c>
      <c r="AB54" s="212">
        <v>0</v>
      </c>
      <c r="AC54" s="245">
        <f t="shared" si="25"/>
        <v>0</v>
      </c>
      <c r="AD54" s="212">
        <v>0</v>
      </c>
    </row>
    <row r="55" spans="1:30" ht="16.5">
      <c r="A55" s="238">
        <v>44</v>
      </c>
      <c r="B55" s="239" t="s">
        <v>396</v>
      </c>
      <c r="C55" s="240">
        <f t="shared" si="14"/>
        <v>8292</v>
      </c>
      <c r="D55" s="212">
        <v>2764</v>
      </c>
      <c r="E55" s="242">
        <f t="shared" si="15"/>
        <v>2764</v>
      </c>
      <c r="F55" s="212">
        <v>5528</v>
      </c>
      <c r="G55" s="240">
        <f t="shared" si="16"/>
        <v>760</v>
      </c>
      <c r="H55" s="212">
        <v>253</v>
      </c>
      <c r="I55" s="242">
        <f t="shared" si="17"/>
        <v>253.5</v>
      </c>
      <c r="J55" s="212">
        <v>507</v>
      </c>
      <c r="K55" s="211">
        <f>M55/'[1]4'!$J$56</f>
        <v>0.31746031746031744</v>
      </c>
      <c r="L55" s="176">
        <f>M55-'[1]4'!$J$56</f>
        <v>-43</v>
      </c>
      <c r="M55" s="244">
        <f t="shared" si="18"/>
        <v>20</v>
      </c>
      <c r="N55" s="212">
        <v>6</v>
      </c>
      <c r="O55" s="245">
        <f t="shared" si="19"/>
        <v>7</v>
      </c>
      <c r="P55" s="212">
        <v>14</v>
      </c>
      <c r="Q55" s="211">
        <f>S55/'[1]4'!$G$56</f>
        <v>1.2983372921615202</v>
      </c>
      <c r="R55" s="176">
        <f>S55-'[1]4'!$G$56</f>
        <v>628</v>
      </c>
      <c r="S55" s="244">
        <f t="shared" si="20"/>
        <v>2733</v>
      </c>
      <c r="T55" s="212">
        <v>911</v>
      </c>
      <c r="U55" s="245">
        <f t="shared" si="21"/>
        <v>911</v>
      </c>
      <c r="V55" s="212">
        <v>1822</v>
      </c>
      <c r="W55" s="244">
        <f t="shared" si="22"/>
        <v>6</v>
      </c>
      <c r="X55" s="212">
        <v>2</v>
      </c>
      <c r="Y55" s="245">
        <f t="shared" si="23"/>
        <v>2</v>
      </c>
      <c r="Z55" s="212">
        <v>4</v>
      </c>
      <c r="AA55" s="244">
        <f t="shared" si="24"/>
        <v>3</v>
      </c>
      <c r="AB55" s="212">
        <v>1</v>
      </c>
      <c r="AC55" s="245">
        <f t="shared" si="25"/>
        <v>1</v>
      </c>
      <c r="AD55" s="212">
        <v>2</v>
      </c>
    </row>
    <row r="56" spans="1:30" ht="16.5">
      <c r="A56" s="238">
        <v>45</v>
      </c>
      <c r="B56" s="239" t="s">
        <v>397</v>
      </c>
      <c r="C56" s="240">
        <f t="shared" si="14"/>
        <v>11004</v>
      </c>
      <c r="D56" s="248">
        <v>3668</v>
      </c>
      <c r="E56" s="242">
        <f t="shared" si="15"/>
        <v>3668</v>
      </c>
      <c r="F56" s="213">
        <v>7336</v>
      </c>
      <c r="G56" s="240">
        <f t="shared" si="16"/>
        <v>5391</v>
      </c>
      <c r="H56" s="213">
        <v>1797</v>
      </c>
      <c r="I56" s="242">
        <f t="shared" si="17"/>
        <v>1797</v>
      </c>
      <c r="J56" s="213">
        <v>3594</v>
      </c>
      <c r="K56" s="211">
        <f>M56/'[1]4'!$J$57</f>
        <v>0</v>
      </c>
      <c r="L56" s="176">
        <f>M56-'[1]4'!$J$57</f>
        <v>-15</v>
      </c>
      <c r="M56" s="244">
        <f t="shared" si="18"/>
        <v>0</v>
      </c>
      <c r="N56" s="251"/>
      <c r="O56" s="253">
        <f t="shared" si="19"/>
        <v>0</v>
      </c>
      <c r="P56" s="251"/>
      <c r="Q56" s="211">
        <f>S56/'[1]4'!$G$57</f>
        <v>1.1498796837401168</v>
      </c>
      <c r="R56" s="176">
        <f>S56-'[1]4'!$G$57</f>
        <v>436</v>
      </c>
      <c r="S56" s="244">
        <f t="shared" si="20"/>
        <v>3345</v>
      </c>
      <c r="T56" s="213">
        <v>1115</v>
      </c>
      <c r="U56" s="245">
        <f t="shared" si="21"/>
        <v>1115</v>
      </c>
      <c r="V56" s="213">
        <v>2230</v>
      </c>
      <c r="W56" s="244">
        <f t="shared" si="22"/>
        <v>201</v>
      </c>
      <c r="X56" s="213">
        <v>67</v>
      </c>
      <c r="Y56" s="245">
        <f t="shared" si="23"/>
        <v>67</v>
      </c>
      <c r="Z56" s="213">
        <v>134</v>
      </c>
      <c r="AA56" s="244">
        <f t="shared" si="24"/>
        <v>0</v>
      </c>
      <c r="AB56" s="251"/>
      <c r="AC56" s="253">
        <f t="shared" si="25"/>
        <v>0</v>
      </c>
      <c r="AD56" s="251"/>
    </row>
    <row r="57" spans="1:30" ht="16.5">
      <c r="A57" s="238">
        <v>46</v>
      </c>
      <c r="B57" s="239" t="s">
        <v>398</v>
      </c>
      <c r="C57" s="240">
        <f t="shared" si="14"/>
        <v>17601</v>
      </c>
      <c r="D57" s="212">
        <v>5819</v>
      </c>
      <c r="E57" s="242">
        <f t="shared" si="15"/>
        <v>5891</v>
      </c>
      <c r="F57" s="212">
        <v>11782</v>
      </c>
      <c r="G57" s="240">
        <f t="shared" si="16"/>
        <v>3058</v>
      </c>
      <c r="H57" s="212">
        <v>1019</v>
      </c>
      <c r="I57" s="242">
        <f t="shared" si="17"/>
        <v>1019.5</v>
      </c>
      <c r="J57" s="212">
        <v>2039</v>
      </c>
      <c r="K57" s="211">
        <f>M57/'[1]4'!$J$58</f>
        <v>0</v>
      </c>
      <c r="L57" s="176">
        <f>M57-'[1]4'!$J$58</f>
        <v>-38</v>
      </c>
      <c r="M57" s="244">
        <f t="shared" si="18"/>
        <v>0</v>
      </c>
      <c r="N57" s="251"/>
      <c r="O57" s="245">
        <f t="shared" si="19"/>
        <v>0</v>
      </c>
      <c r="P57" s="251"/>
      <c r="Q57" s="211">
        <f>S57/'[1]4'!$G$58</f>
        <v>1.2902854511970534</v>
      </c>
      <c r="R57" s="176">
        <f>S57-'[1]4'!$G$58</f>
        <v>1261</v>
      </c>
      <c r="S57" s="244">
        <f t="shared" si="20"/>
        <v>5605</v>
      </c>
      <c r="T57" s="212">
        <v>1868</v>
      </c>
      <c r="U57" s="245">
        <f t="shared" si="21"/>
        <v>1868.5</v>
      </c>
      <c r="V57" s="212">
        <v>3737</v>
      </c>
      <c r="W57" s="244">
        <f t="shared" si="22"/>
        <v>58</v>
      </c>
      <c r="X57" s="212">
        <v>19</v>
      </c>
      <c r="Y57" s="245">
        <f t="shared" si="23"/>
        <v>19.5</v>
      </c>
      <c r="Z57" s="212">
        <v>39</v>
      </c>
      <c r="AA57" s="244">
        <f t="shared" si="24"/>
        <v>0</v>
      </c>
      <c r="AB57" s="251"/>
      <c r="AC57" s="253">
        <f t="shared" si="25"/>
        <v>0</v>
      </c>
      <c r="AD57" s="251"/>
    </row>
    <row r="58" spans="1:30" ht="16.5">
      <c r="A58" s="238">
        <v>47</v>
      </c>
      <c r="B58" s="239" t="s">
        <v>399</v>
      </c>
      <c r="C58" s="240">
        <f t="shared" si="14"/>
        <v>14299.5</v>
      </c>
      <c r="D58" s="212">
        <v>4766.5</v>
      </c>
      <c r="E58" s="242">
        <f t="shared" si="15"/>
        <v>4766.5</v>
      </c>
      <c r="F58" s="212">
        <v>9533</v>
      </c>
      <c r="G58" s="240">
        <f t="shared" si="16"/>
        <v>3235.5</v>
      </c>
      <c r="H58" s="212">
        <v>1078.5</v>
      </c>
      <c r="I58" s="242">
        <f t="shared" si="17"/>
        <v>1078.5</v>
      </c>
      <c r="J58" s="212">
        <v>2157</v>
      </c>
      <c r="K58" s="211">
        <f>M58/'[1]4'!$J$59</f>
        <v>0.45</v>
      </c>
      <c r="L58" s="176">
        <f>M58-'[1]4'!$J$59</f>
        <v>-16.5</v>
      </c>
      <c r="M58" s="244">
        <f t="shared" si="18"/>
        <v>13.5</v>
      </c>
      <c r="N58" s="212">
        <v>4.5</v>
      </c>
      <c r="O58" s="245">
        <f t="shared" si="19"/>
        <v>4.5</v>
      </c>
      <c r="P58" s="212">
        <v>9</v>
      </c>
      <c r="Q58" s="211">
        <f>S58/'[1]4'!$G$59</f>
        <v>2.255958291956306</v>
      </c>
      <c r="R58" s="176">
        <f>S58-'[1]4'!$G$59</f>
        <v>2529.5</v>
      </c>
      <c r="S58" s="244">
        <f t="shared" si="20"/>
        <v>4543.5</v>
      </c>
      <c r="T58" s="212">
        <v>1514.5</v>
      </c>
      <c r="U58" s="245">
        <f t="shared" si="21"/>
        <v>1514.5</v>
      </c>
      <c r="V58" s="212">
        <v>3029</v>
      </c>
      <c r="W58" s="244">
        <f t="shared" si="22"/>
        <v>127.5</v>
      </c>
      <c r="X58" s="212">
        <v>42.5</v>
      </c>
      <c r="Y58" s="245">
        <f t="shared" si="23"/>
        <v>42.5</v>
      </c>
      <c r="Z58" s="212">
        <v>85</v>
      </c>
      <c r="AA58" s="244">
        <f t="shared" si="24"/>
        <v>4.5</v>
      </c>
      <c r="AB58" s="212">
        <v>1.5</v>
      </c>
      <c r="AC58" s="245">
        <f t="shared" si="25"/>
        <v>1.5</v>
      </c>
      <c r="AD58" s="212">
        <v>3</v>
      </c>
    </row>
    <row r="59" spans="1:30" ht="16.5">
      <c r="A59" s="238">
        <v>48</v>
      </c>
      <c r="B59" s="239" t="s">
        <v>400</v>
      </c>
      <c r="C59" s="240">
        <f t="shared" si="14"/>
        <v>19324.5</v>
      </c>
      <c r="D59" s="212">
        <v>6441.5</v>
      </c>
      <c r="E59" s="242">
        <f t="shared" si="15"/>
        <v>6441.5</v>
      </c>
      <c r="F59" s="212">
        <v>12883</v>
      </c>
      <c r="G59" s="240">
        <f t="shared" si="16"/>
        <v>4587</v>
      </c>
      <c r="H59" s="212">
        <v>1529</v>
      </c>
      <c r="I59" s="242">
        <f t="shared" si="17"/>
        <v>1529</v>
      </c>
      <c r="J59" s="212">
        <v>3058</v>
      </c>
      <c r="K59" s="211">
        <f>M59/'[1]4'!$J$60</f>
        <v>1.3061224489795917</v>
      </c>
      <c r="L59" s="176">
        <f>M59-'[1]4'!$J$60</f>
        <v>30</v>
      </c>
      <c r="M59" s="244">
        <f t="shared" si="18"/>
        <v>128</v>
      </c>
      <c r="N59" s="212">
        <v>43</v>
      </c>
      <c r="O59" s="245">
        <f t="shared" si="19"/>
        <v>42.5</v>
      </c>
      <c r="P59" s="212">
        <v>85</v>
      </c>
      <c r="Q59" s="211">
        <f>S59/'[1]4'!$G$60</f>
        <v>1.7492325402916347</v>
      </c>
      <c r="R59" s="176">
        <f>S59-'[1]4'!$G$60</f>
        <v>1952.5</v>
      </c>
      <c r="S59" s="244">
        <f t="shared" si="20"/>
        <v>4558.5</v>
      </c>
      <c r="T59" s="212">
        <v>1519.5</v>
      </c>
      <c r="U59" s="245">
        <f t="shared" si="21"/>
        <v>1519.5</v>
      </c>
      <c r="V59" s="212">
        <v>3039</v>
      </c>
      <c r="W59" s="244">
        <f t="shared" si="22"/>
        <v>37.5</v>
      </c>
      <c r="X59" s="212">
        <v>12.5</v>
      </c>
      <c r="Y59" s="245">
        <f t="shared" si="23"/>
        <v>12.5</v>
      </c>
      <c r="Z59" s="212">
        <v>25</v>
      </c>
      <c r="AA59" s="244">
        <f t="shared" si="24"/>
        <v>9</v>
      </c>
      <c r="AB59" s="212">
        <v>3</v>
      </c>
      <c r="AC59" s="245">
        <f t="shared" si="25"/>
        <v>3</v>
      </c>
      <c r="AD59" s="212">
        <v>6</v>
      </c>
    </row>
    <row r="60" spans="1:30" ht="16.5">
      <c r="A60" s="238">
        <v>49</v>
      </c>
      <c r="B60" s="239" t="s">
        <v>401</v>
      </c>
      <c r="C60" s="240">
        <f t="shared" si="14"/>
        <v>8004</v>
      </c>
      <c r="D60" s="212">
        <v>2668</v>
      </c>
      <c r="E60" s="242">
        <f t="shared" si="15"/>
        <v>2668</v>
      </c>
      <c r="F60" s="212">
        <v>5336</v>
      </c>
      <c r="G60" s="240">
        <f t="shared" si="16"/>
        <v>1707</v>
      </c>
      <c r="H60" s="212">
        <v>569</v>
      </c>
      <c r="I60" s="242">
        <f t="shared" si="17"/>
        <v>569</v>
      </c>
      <c r="J60" s="212">
        <v>1138</v>
      </c>
      <c r="K60" s="211">
        <f>M60/'[1]4'!$J$61</f>
        <v>0.3684210526315789</v>
      </c>
      <c r="L60" s="176">
        <f>M60-'[1]4'!$J$61</f>
        <v>-12</v>
      </c>
      <c r="M60" s="244">
        <f t="shared" si="18"/>
        <v>7</v>
      </c>
      <c r="N60" s="212">
        <v>2</v>
      </c>
      <c r="O60" s="245">
        <f t="shared" si="19"/>
        <v>2.5</v>
      </c>
      <c r="P60" s="212">
        <v>5</v>
      </c>
      <c r="Q60" s="211">
        <f>S60/'[1]4'!$G$61</f>
        <v>1.3591293833131801</v>
      </c>
      <c r="R60" s="176">
        <f>S60-'[1]4'!$G$61</f>
        <v>594</v>
      </c>
      <c r="S60" s="244">
        <f t="shared" si="20"/>
        <v>2248</v>
      </c>
      <c r="T60" s="212">
        <v>749</v>
      </c>
      <c r="U60" s="245">
        <f t="shared" si="21"/>
        <v>749.5</v>
      </c>
      <c r="V60" s="212">
        <v>1499</v>
      </c>
      <c r="W60" s="244">
        <f t="shared" si="22"/>
        <v>39</v>
      </c>
      <c r="X60" s="212">
        <v>13</v>
      </c>
      <c r="Y60" s="245">
        <f t="shared" si="23"/>
        <v>13</v>
      </c>
      <c r="Z60" s="212">
        <v>26</v>
      </c>
      <c r="AA60" s="244">
        <f t="shared" si="24"/>
        <v>1</v>
      </c>
      <c r="AB60" s="212">
        <v>0</v>
      </c>
      <c r="AC60" s="245">
        <f t="shared" si="25"/>
        <v>0.5</v>
      </c>
      <c r="AD60" s="212">
        <v>1</v>
      </c>
    </row>
    <row r="61" spans="1:30" ht="16.5">
      <c r="A61" s="238">
        <v>50</v>
      </c>
      <c r="B61" s="239" t="s">
        <v>402</v>
      </c>
      <c r="C61" s="240">
        <f t="shared" si="14"/>
        <v>15624</v>
      </c>
      <c r="D61" s="212">
        <v>5208</v>
      </c>
      <c r="E61" s="242">
        <f t="shared" si="15"/>
        <v>5208</v>
      </c>
      <c r="F61" s="212">
        <v>10416</v>
      </c>
      <c r="G61" s="240">
        <f t="shared" si="16"/>
        <v>3597</v>
      </c>
      <c r="H61" s="212">
        <v>1199</v>
      </c>
      <c r="I61" s="242">
        <f t="shared" si="17"/>
        <v>1199</v>
      </c>
      <c r="J61" s="212">
        <v>2398</v>
      </c>
      <c r="K61" s="211">
        <f>M61/'[1]4'!$J$62</f>
        <v>0.24</v>
      </c>
      <c r="L61" s="176">
        <f>M61-'[1]4'!$J$62</f>
        <v>-76</v>
      </c>
      <c r="M61" s="244">
        <f t="shared" si="18"/>
        <v>24</v>
      </c>
      <c r="N61" s="212">
        <v>8</v>
      </c>
      <c r="O61" s="245">
        <f t="shared" si="19"/>
        <v>8</v>
      </c>
      <c r="P61" s="212">
        <v>16</v>
      </c>
      <c r="Q61" s="211">
        <f>S61/'[1]4'!$G$62</f>
        <v>1.0556372549019608</v>
      </c>
      <c r="R61" s="176">
        <f>S61-'[1]4'!$G$62</f>
        <v>227</v>
      </c>
      <c r="S61" s="244">
        <f t="shared" si="20"/>
        <v>4307</v>
      </c>
      <c r="T61" s="212">
        <v>1436</v>
      </c>
      <c r="U61" s="245">
        <f t="shared" si="21"/>
        <v>1435.5</v>
      </c>
      <c r="V61" s="212">
        <v>2871</v>
      </c>
      <c r="W61" s="244">
        <f t="shared" si="22"/>
        <v>17</v>
      </c>
      <c r="X61" s="212">
        <v>6</v>
      </c>
      <c r="Y61" s="245">
        <f t="shared" si="23"/>
        <v>5.5</v>
      </c>
      <c r="Z61" s="212">
        <v>11</v>
      </c>
      <c r="AA61" s="244">
        <f t="shared" si="24"/>
        <v>8</v>
      </c>
      <c r="AB61" s="212">
        <v>3</v>
      </c>
      <c r="AC61" s="245">
        <f t="shared" si="25"/>
        <v>2.5</v>
      </c>
      <c r="AD61" s="212">
        <v>5</v>
      </c>
    </row>
    <row r="62" spans="1:30" ht="16.5">
      <c r="A62" s="238">
        <v>51</v>
      </c>
      <c r="B62" s="239" t="s">
        <v>403</v>
      </c>
      <c r="C62" s="240">
        <f t="shared" si="14"/>
        <v>19689</v>
      </c>
      <c r="D62" s="212">
        <v>6563</v>
      </c>
      <c r="E62" s="242">
        <f t="shared" si="15"/>
        <v>6563</v>
      </c>
      <c r="F62" s="212">
        <v>13126</v>
      </c>
      <c r="G62" s="240">
        <f t="shared" si="16"/>
        <v>2286</v>
      </c>
      <c r="H62" s="212">
        <v>762</v>
      </c>
      <c r="I62" s="242">
        <f t="shared" si="17"/>
        <v>762</v>
      </c>
      <c r="J62" s="212">
        <v>1524</v>
      </c>
      <c r="K62" s="211">
        <f>M62/'[1]4'!$J$63</f>
        <v>1</v>
      </c>
      <c r="L62" s="176">
        <f>M62-'[1]4'!$J$63</f>
        <v>0</v>
      </c>
      <c r="M62" s="244">
        <f t="shared" si="18"/>
        <v>2</v>
      </c>
      <c r="N62" s="212">
        <v>1</v>
      </c>
      <c r="O62" s="245">
        <f t="shared" si="19"/>
        <v>0.5</v>
      </c>
      <c r="P62" s="212">
        <v>1</v>
      </c>
      <c r="Q62" s="211">
        <f>S62/'[1]4'!$G$63</f>
        <v>1.7322546972860124</v>
      </c>
      <c r="R62" s="176">
        <f>S62-'[1]4'!$G$63</f>
        <v>1403</v>
      </c>
      <c r="S62" s="244">
        <f t="shared" si="20"/>
        <v>3319</v>
      </c>
      <c r="T62" s="212">
        <v>1106</v>
      </c>
      <c r="U62" s="245">
        <f t="shared" si="21"/>
        <v>1106.5</v>
      </c>
      <c r="V62" s="212">
        <v>2213</v>
      </c>
      <c r="W62" s="244">
        <f t="shared" si="22"/>
        <v>158</v>
      </c>
      <c r="X62" s="212">
        <v>53</v>
      </c>
      <c r="Y62" s="245">
        <f t="shared" si="23"/>
        <v>52.5</v>
      </c>
      <c r="Z62" s="212">
        <v>105</v>
      </c>
      <c r="AA62" s="244">
        <f t="shared" si="24"/>
        <v>0</v>
      </c>
      <c r="AB62" s="212">
        <v>0</v>
      </c>
      <c r="AC62" s="245">
        <f t="shared" si="25"/>
        <v>0</v>
      </c>
      <c r="AD62" s="212">
        <v>0</v>
      </c>
    </row>
    <row r="63" spans="1:30" ht="16.5">
      <c r="A63" s="238">
        <v>52</v>
      </c>
      <c r="B63" s="239" t="s">
        <v>404</v>
      </c>
      <c r="C63" s="240">
        <f t="shared" si="14"/>
        <v>12374</v>
      </c>
      <c r="D63" s="212">
        <v>4125</v>
      </c>
      <c r="E63" s="242">
        <f t="shared" si="15"/>
        <v>4124.5</v>
      </c>
      <c r="F63" s="212">
        <v>8249</v>
      </c>
      <c r="G63" s="240">
        <f t="shared" si="16"/>
        <v>2240.12</v>
      </c>
      <c r="H63" s="212">
        <v>1.12</v>
      </c>
      <c r="I63" s="242">
        <f t="shared" si="17"/>
        <v>1119.5</v>
      </c>
      <c r="J63" s="212">
        <v>2239</v>
      </c>
      <c r="K63" s="211">
        <f>M63/'[1]4'!$J$64</f>
        <v>0.38095238095238093</v>
      </c>
      <c r="L63" s="176">
        <f>M63-'[1]4'!$J$64</f>
        <v>-91</v>
      </c>
      <c r="M63" s="244">
        <f t="shared" si="18"/>
        <v>56</v>
      </c>
      <c r="N63" s="212">
        <v>19</v>
      </c>
      <c r="O63" s="245">
        <f t="shared" si="19"/>
        <v>18.5</v>
      </c>
      <c r="P63" s="212">
        <v>37</v>
      </c>
      <c r="Q63" s="211">
        <f>S63/'[1]4'!$G$64</f>
        <v>1.1423113658070678</v>
      </c>
      <c r="R63" s="176">
        <f>S63-'[1]4'!$G$64</f>
        <v>447</v>
      </c>
      <c r="S63" s="244">
        <f t="shared" si="20"/>
        <v>3588</v>
      </c>
      <c r="T63" s="212">
        <v>1196</v>
      </c>
      <c r="U63" s="245">
        <f t="shared" si="21"/>
        <v>1196</v>
      </c>
      <c r="V63" s="212">
        <v>2392</v>
      </c>
      <c r="W63" s="244">
        <f t="shared" si="22"/>
        <v>11</v>
      </c>
      <c r="X63" s="212">
        <v>4</v>
      </c>
      <c r="Y63" s="245">
        <f t="shared" si="23"/>
        <v>3.5</v>
      </c>
      <c r="Z63" s="212">
        <v>7</v>
      </c>
      <c r="AA63" s="244">
        <f t="shared" si="24"/>
        <v>3</v>
      </c>
      <c r="AB63" s="212">
        <v>1</v>
      </c>
      <c r="AC63" s="245">
        <f t="shared" si="25"/>
        <v>1</v>
      </c>
      <c r="AD63" s="212">
        <v>2</v>
      </c>
    </row>
    <row r="64" spans="1:30" ht="16.5">
      <c r="A64" s="238">
        <v>53</v>
      </c>
      <c r="B64" s="239" t="s">
        <v>405</v>
      </c>
      <c r="C64" s="240">
        <f t="shared" si="14"/>
        <v>18534</v>
      </c>
      <c r="D64" s="212">
        <v>1264</v>
      </c>
      <c r="E64" s="242">
        <f t="shared" si="15"/>
        <v>8635</v>
      </c>
      <c r="F64" s="212">
        <v>17270</v>
      </c>
      <c r="G64" s="240">
        <f t="shared" si="16"/>
        <v>8897</v>
      </c>
      <c r="H64" s="212">
        <v>3573</v>
      </c>
      <c r="I64" s="242">
        <f t="shared" si="17"/>
        <v>2662</v>
      </c>
      <c r="J64" s="212">
        <v>5324</v>
      </c>
      <c r="K64" s="211">
        <f>M64/'[1]4'!$J$65</f>
        <v>0.24489795918367346</v>
      </c>
      <c r="L64" s="176">
        <f>M64-'[1]4'!$J$65</f>
        <v>-37</v>
      </c>
      <c r="M64" s="244">
        <f t="shared" si="18"/>
        <v>12</v>
      </c>
      <c r="N64" s="212">
        <v>1</v>
      </c>
      <c r="O64" s="245">
        <f t="shared" si="19"/>
        <v>5.5</v>
      </c>
      <c r="P64" s="212">
        <v>11</v>
      </c>
      <c r="Q64" s="211">
        <f>S64/'[1]4'!$G$65</f>
        <v>1.557087607196906</v>
      </c>
      <c r="R64" s="176">
        <f>S64-'[1]4'!$G$65</f>
        <v>3313</v>
      </c>
      <c r="S64" s="244">
        <f t="shared" si="20"/>
        <v>9260</v>
      </c>
      <c r="T64" s="212">
        <v>3308</v>
      </c>
      <c r="U64" s="245">
        <f t="shared" si="21"/>
        <v>2976</v>
      </c>
      <c r="V64" s="212">
        <v>5952</v>
      </c>
      <c r="W64" s="244">
        <f t="shared" si="22"/>
        <v>214</v>
      </c>
      <c r="X64" s="212">
        <v>60</v>
      </c>
      <c r="Y64" s="245">
        <f t="shared" si="23"/>
        <v>77</v>
      </c>
      <c r="Z64" s="212">
        <v>154</v>
      </c>
      <c r="AA64" s="244">
        <f t="shared" si="24"/>
        <v>2</v>
      </c>
      <c r="AB64" s="212">
        <v>0</v>
      </c>
      <c r="AC64" s="245">
        <f t="shared" si="25"/>
        <v>1</v>
      </c>
      <c r="AD64" s="212">
        <v>2</v>
      </c>
    </row>
    <row r="65" spans="1:31" ht="16.5">
      <c r="A65" s="238">
        <v>54</v>
      </c>
      <c r="B65" s="239" t="s">
        <v>406</v>
      </c>
      <c r="C65" s="240">
        <f t="shared" si="14"/>
        <v>17439</v>
      </c>
      <c r="D65" s="248">
        <v>5813</v>
      </c>
      <c r="E65" s="242">
        <f t="shared" si="15"/>
        <v>5813</v>
      </c>
      <c r="F65" s="212">
        <v>11626</v>
      </c>
      <c r="G65" s="240">
        <f t="shared" si="16"/>
        <v>0</v>
      </c>
      <c r="H65" s="212"/>
      <c r="I65" s="242">
        <f t="shared" si="17"/>
        <v>0</v>
      </c>
      <c r="J65" s="212">
        <v>0</v>
      </c>
      <c r="K65" s="211">
        <f>M65/'[1]4'!$J$66</f>
        <v>0.3181818181818182</v>
      </c>
      <c r="L65" s="176">
        <f>M65-'[1]4'!$J$66</f>
        <v>-15</v>
      </c>
      <c r="M65" s="244">
        <f t="shared" si="18"/>
        <v>7</v>
      </c>
      <c r="N65" s="212">
        <v>2</v>
      </c>
      <c r="O65" s="245">
        <f t="shared" si="19"/>
        <v>2.5</v>
      </c>
      <c r="P65" s="212">
        <v>5</v>
      </c>
      <c r="Q65" s="211">
        <f>S65/'[1]4'!$G$66</f>
        <v>1.231491513181654</v>
      </c>
      <c r="R65" s="176">
        <f>S65-'[1]4'!$G$66</f>
        <v>641</v>
      </c>
      <c r="S65" s="244">
        <f t="shared" si="20"/>
        <v>3410</v>
      </c>
      <c r="T65" s="248">
        <v>1137</v>
      </c>
      <c r="U65" s="245">
        <f t="shared" si="21"/>
        <v>1136.5</v>
      </c>
      <c r="V65" s="212">
        <v>2273</v>
      </c>
      <c r="W65" s="244">
        <f t="shared" si="22"/>
        <v>63</v>
      </c>
      <c r="X65" s="248">
        <v>21</v>
      </c>
      <c r="Y65" s="245">
        <f t="shared" si="23"/>
        <v>21</v>
      </c>
      <c r="Z65" s="212">
        <v>42</v>
      </c>
      <c r="AA65" s="244">
        <f t="shared" si="24"/>
        <v>0</v>
      </c>
      <c r="AB65" s="212">
        <v>0</v>
      </c>
      <c r="AC65" s="245">
        <f t="shared" si="25"/>
        <v>0</v>
      </c>
      <c r="AD65" s="212">
        <v>0</v>
      </c>
      <c r="AE65" t="s">
        <v>580</v>
      </c>
    </row>
    <row r="66" spans="1:30" ht="16.5">
      <c r="A66" s="238">
        <v>55</v>
      </c>
      <c r="B66" s="239" t="s">
        <v>547</v>
      </c>
      <c r="C66" s="240">
        <f t="shared" si="14"/>
        <v>39457</v>
      </c>
      <c r="D66" s="212">
        <v>13000</v>
      </c>
      <c r="E66" s="242">
        <f t="shared" si="15"/>
        <v>13228.5</v>
      </c>
      <c r="F66" s="212">
        <v>26457</v>
      </c>
      <c r="G66" s="240">
        <f t="shared" si="16"/>
        <v>8814</v>
      </c>
      <c r="H66" s="212">
        <v>2900</v>
      </c>
      <c r="I66" s="242">
        <f t="shared" si="17"/>
        <v>2957</v>
      </c>
      <c r="J66" s="212">
        <v>5914</v>
      </c>
      <c r="K66" s="211">
        <f>M66/'[1]4'!$J$67</f>
        <v>0.38235294117647056</v>
      </c>
      <c r="L66" s="176">
        <f>M66-'[1]4'!$J$67</f>
        <v>-21</v>
      </c>
      <c r="M66" s="244">
        <f t="shared" si="18"/>
        <v>13</v>
      </c>
      <c r="N66" s="212">
        <v>4</v>
      </c>
      <c r="O66" s="245">
        <f t="shared" si="19"/>
        <v>4.5</v>
      </c>
      <c r="P66" s="212">
        <v>9</v>
      </c>
      <c r="Q66" s="211">
        <f>S66/'[1]4'!$G$67</f>
        <v>1.277788035450517</v>
      </c>
      <c r="R66" s="176">
        <f>S66-'[1]4'!$G$67</f>
        <v>3009</v>
      </c>
      <c r="S66" s="244">
        <f t="shared" si="20"/>
        <v>13841</v>
      </c>
      <c r="T66" s="212">
        <v>4500</v>
      </c>
      <c r="U66" s="245">
        <f t="shared" si="21"/>
        <v>4670.5</v>
      </c>
      <c r="V66" s="212">
        <v>9341</v>
      </c>
      <c r="W66" s="244">
        <f t="shared" si="22"/>
        <v>375</v>
      </c>
      <c r="X66" s="212">
        <v>125</v>
      </c>
      <c r="Y66" s="245">
        <f t="shared" si="23"/>
        <v>125</v>
      </c>
      <c r="Z66" s="212">
        <v>250</v>
      </c>
      <c r="AA66" s="244">
        <f t="shared" si="24"/>
        <v>2</v>
      </c>
      <c r="AB66" s="212">
        <v>1</v>
      </c>
      <c r="AC66" s="245">
        <f t="shared" si="25"/>
        <v>0.5</v>
      </c>
      <c r="AD66" s="212">
        <v>1</v>
      </c>
    </row>
    <row r="67" spans="1:30" ht="16.5">
      <c r="A67" s="238">
        <v>56</v>
      </c>
      <c r="B67" s="239" t="s">
        <v>408</v>
      </c>
      <c r="C67" s="240">
        <f t="shared" si="14"/>
        <v>15501</v>
      </c>
      <c r="D67" s="212">
        <v>5167</v>
      </c>
      <c r="E67" s="242">
        <f t="shared" si="15"/>
        <v>5167</v>
      </c>
      <c r="F67" s="212">
        <v>10334</v>
      </c>
      <c r="G67" s="240">
        <f t="shared" si="16"/>
        <v>1316</v>
      </c>
      <c r="H67" s="212">
        <v>439</v>
      </c>
      <c r="I67" s="242">
        <f t="shared" si="17"/>
        <v>438.5</v>
      </c>
      <c r="J67" s="212">
        <v>877</v>
      </c>
      <c r="K67" s="211">
        <f>M67/'[1]4'!$J$68</f>
        <v>0.1735159817351598</v>
      </c>
      <c r="L67" s="176">
        <f>M67-'[1]4'!$J$68</f>
        <v>-181</v>
      </c>
      <c r="M67" s="244">
        <f t="shared" si="18"/>
        <v>38</v>
      </c>
      <c r="N67" s="212">
        <v>13</v>
      </c>
      <c r="O67" s="245">
        <f t="shared" si="19"/>
        <v>12.5</v>
      </c>
      <c r="P67" s="212">
        <v>25</v>
      </c>
      <c r="Q67" s="211">
        <f>S67/'[1]4'!$G$68</f>
        <v>1.4178378378378378</v>
      </c>
      <c r="R67" s="176">
        <f>S67-'[1]4'!$G$68</f>
        <v>1546</v>
      </c>
      <c r="S67" s="244">
        <f t="shared" si="20"/>
        <v>5246</v>
      </c>
      <c r="T67" s="212">
        <v>1749</v>
      </c>
      <c r="U67" s="245">
        <f t="shared" si="21"/>
        <v>1748.5</v>
      </c>
      <c r="V67" s="212">
        <v>3497</v>
      </c>
      <c r="W67" s="244">
        <f t="shared" si="22"/>
        <v>36</v>
      </c>
      <c r="X67" s="212">
        <v>12</v>
      </c>
      <c r="Y67" s="245">
        <f t="shared" si="23"/>
        <v>12</v>
      </c>
      <c r="Z67" s="212">
        <v>24</v>
      </c>
      <c r="AA67" s="244">
        <f t="shared" si="24"/>
        <v>9</v>
      </c>
      <c r="AB67" s="212">
        <v>3</v>
      </c>
      <c r="AC67" s="245">
        <f t="shared" si="25"/>
        <v>3</v>
      </c>
      <c r="AD67" s="212">
        <v>6</v>
      </c>
    </row>
    <row r="68" spans="1:30" ht="16.5">
      <c r="A68" s="238">
        <v>57</v>
      </c>
      <c r="B68" s="239" t="s">
        <v>409</v>
      </c>
      <c r="C68" s="240">
        <f t="shared" si="14"/>
        <v>16505</v>
      </c>
      <c r="D68" s="212">
        <v>5502</v>
      </c>
      <c r="E68" s="242">
        <f t="shared" si="15"/>
        <v>5501.5</v>
      </c>
      <c r="F68" s="212">
        <v>11003</v>
      </c>
      <c r="G68" s="240">
        <f t="shared" si="16"/>
        <v>3575</v>
      </c>
      <c r="H68" s="212">
        <v>1192</v>
      </c>
      <c r="I68" s="242">
        <f t="shared" si="17"/>
        <v>1191.5</v>
      </c>
      <c r="J68" s="212">
        <v>2383</v>
      </c>
      <c r="K68" s="211">
        <f>M68/'[1]4'!$J$69</f>
        <v>0.1978021978021978</v>
      </c>
      <c r="L68" s="176">
        <f>M68-'[1]4'!$J$69</f>
        <v>-146</v>
      </c>
      <c r="M68" s="244">
        <f t="shared" si="18"/>
        <v>36</v>
      </c>
      <c r="N68" s="212">
        <v>12</v>
      </c>
      <c r="O68" s="245">
        <f t="shared" si="19"/>
        <v>12</v>
      </c>
      <c r="P68" s="212">
        <v>24</v>
      </c>
      <c r="Q68" s="211">
        <f>S68/'[1]4'!$G$69</f>
        <v>1.4106368409039032</v>
      </c>
      <c r="R68" s="176">
        <f>S68-'[1]4'!$G$69</f>
        <v>1799</v>
      </c>
      <c r="S68" s="244">
        <f t="shared" si="20"/>
        <v>6180</v>
      </c>
      <c r="T68" s="212">
        <v>2060</v>
      </c>
      <c r="U68" s="245">
        <f t="shared" si="21"/>
        <v>2060</v>
      </c>
      <c r="V68" s="212">
        <v>4120</v>
      </c>
      <c r="W68" s="244">
        <f t="shared" si="22"/>
        <v>8</v>
      </c>
      <c r="X68" s="212">
        <v>3</v>
      </c>
      <c r="Y68" s="245">
        <f t="shared" si="23"/>
        <v>2.5</v>
      </c>
      <c r="Z68" s="212">
        <v>5</v>
      </c>
      <c r="AA68" s="244">
        <f t="shared" si="24"/>
        <v>8</v>
      </c>
      <c r="AB68" s="212">
        <v>3</v>
      </c>
      <c r="AC68" s="245">
        <f t="shared" si="25"/>
        <v>2.5</v>
      </c>
      <c r="AD68" s="212">
        <v>5</v>
      </c>
    </row>
    <row r="69" spans="1:30" ht="16.5">
      <c r="A69" s="238">
        <v>58</v>
      </c>
      <c r="B69" s="239" t="s">
        <v>548</v>
      </c>
      <c r="C69" s="240">
        <f t="shared" si="14"/>
        <v>54843</v>
      </c>
      <c r="D69" s="212">
        <v>18281</v>
      </c>
      <c r="E69" s="242">
        <f t="shared" si="15"/>
        <v>18281</v>
      </c>
      <c r="F69" s="212">
        <v>36562</v>
      </c>
      <c r="G69" s="240">
        <f t="shared" si="16"/>
        <v>2103</v>
      </c>
      <c r="H69" s="212">
        <v>701</v>
      </c>
      <c r="I69" s="242">
        <f t="shared" si="17"/>
        <v>701</v>
      </c>
      <c r="J69" s="212">
        <v>1402</v>
      </c>
      <c r="K69" s="211">
        <f>M69/'[1]4'!$J$70</f>
        <v>0.5775729646697388</v>
      </c>
      <c r="L69" s="176">
        <f>M69-'[1]4'!$J$70</f>
        <v>-550</v>
      </c>
      <c r="M69" s="244">
        <f t="shared" si="18"/>
        <v>752</v>
      </c>
      <c r="N69" s="212">
        <v>251</v>
      </c>
      <c r="O69" s="245">
        <f t="shared" si="19"/>
        <v>250.5</v>
      </c>
      <c r="P69" s="212">
        <v>501</v>
      </c>
      <c r="Q69" s="211">
        <f>S69/'[1]4'!$G$70</f>
        <v>1.1172123221439425</v>
      </c>
      <c r="R69" s="176">
        <f>S69-'[1]4'!$G$70</f>
        <v>1697</v>
      </c>
      <c r="S69" s="244">
        <f t="shared" si="20"/>
        <v>16175</v>
      </c>
      <c r="T69" s="212">
        <v>3237</v>
      </c>
      <c r="U69" s="245">
        <f t="shared" si="21"/>
        <v>6469</v>
      </c>
      <c r="V69" s="212">
        <v>12938</v>
      </c>
      <c r="W69" s="244">
        <f t="shared" si="22"/>
        <v>51</v>
      </c>
      <c r="X69" s="212">
        <v>17</v>
      </c>
      <c r="Y69" s="245">
        <f t="shared" si="23"/>
        <v>17</v>
      </c>
      <c r="Z69" s="212">
        <v>34</v>
      </c>
      <c r="AA69" s="244">
        <f t="shared" si="24"/>
        <v>137</v>
      </c>
      <c r="AB69" s="212">
        <v>46</v>
      </c>
      <c r="AC69" s="245">
        <f t="shared" si="25"/>
        <v>45.5</v>
      </c>
      <c r="AD69" s="212">
        <v>91</v>
      </c>
    </row>
    <row r="70" spans="1:30" ht="16.5">
      <c r="A70" s="238">
        <v>59</v>
      </c>
      <c r="B70" s="239" t="s">
        <v>411</v>
      </c>
      <c r="C70" s="240">
        <f t="shared" si="14"/>
        <v>15585</v>
      </c>
      <c r="D70" s="212">
        <v>5195</v>
      </c>
      <c r="E70" s="242">
        <f t="shared" si="15"/>
        <v>5195</v>
      </c>
      <c r="F70" s="212">
        <v>10390</v>
      </c>
      <c r="G70" s="240">
        <f t="shared" si="16"/>
        <v>3489</v>
      </c>
      <c r="H70" s="212">
        <v>1163</v>
      </c>
      <c r="I70" s="242">
        <f t="shared" si="17"/>
        <v>1163</v>
      </c>
      <c r="J70" s="212">
        <v>2326</v>
      </c>
      <c r="K70" s="211">
        <f>M70/'[1]4'!$J$71</f>
        <v>0.21311475409836064</v>
      </c>
      <c r="L70" s="176">
        <f>M70-'[1]4'!$J$71</f>
        <v>-96</v>
      </c>
      <c r="M70" s="244">
        <f t="shared" si="18"/>
        <v>26</v>
      </c>
      <c r="N70" s="212">
        <v>9</v>
      </c>
      <c r="O70" s="245">
        <f t="shared" si="19"/>
        <v>8.5</v>
      </c>
      <c r="P70" s="212">
        <v>17</v>
      </c>
      <c r="Q70" s="211">
        <f>S70/'[1]4'!$G$71</f>
        <v>1.443210318882121</v>
      </c>
      <c r="R70" s="176">
        <f>S70-'[1]4'!$G$71</f>
        <v>1237</v>
      </c>
      <c r="S70" s="244">
        <f t="shared" si="20"/>
        <v>4028</v>
      </c>
      <c r="T70" s="212">
        <v>1343</v>
      </c>
      <c r="U70" s="245">
        <f t="shared" si="21"/>
        <v>1342.5</v>
      </c>
      <c r="V70" s="212">
        <v>2685</v>
      </c>
      <c r="W70" s="244">
        <f t="shared" si="22"/>
        <v>122</v>
      </c>
      <c r="X70" s="212">
        <v>41</v>
      </c>
      <c r="Y70" s="245">
        <f t="shared" si="23"/>
        <v>40.5</v>
      </c>
      <c r="Z70" s="212">
        <v>81</v>
      </c>
      <c r="AA70" s="244">
        <f t="shared" si="24"/>
        <v>8</v>
      </c>
      <c r="AB70" s="212">
        <v>3</v>
      </c>
      <c r="AC70" s="245">
        <f t="shared" si="25"/>
        <v>2.5</v>
      </c>
      <c r="AD70" s="212">
        <v>5</v>
      </c>
    </row>
    <row r="71" spans="1:30" ht="16.5">
      <c r="A71" s="238">
        <v>60</v>
      </c>
      <c r="B71" s="239" t="s">
        <v>412</v>
      </c>
      <c r="C71" s="240">
        <f t="shared" si="14"/>
        <v>9625</v>
      </c>
      <c r="D71" s="212">
        <v>3208</v>
      </c>
      <c r="E71" s="242">
        <f t="shared" si="15"/>
        <v>3208.5</v>
      </c>
      <c r="F71" s="212">
        <v>6417</v>
      </c>
      <c r="G71" s="240">
        <f t="shared" si="16"/>
        <v>3183</v>
      </c>
      <c r="H71" s="212">
        <v>1061</v>
      </c>
      <c r="I71" s="242">
        <f t="shared" si="17"/>
        <v>1061</v>
      </c>
      <c r="J71" s="212">
        <v>2122</v>
      </c>
      <c r="K71" s="211">
        <f>M71/'[1]4'!$J$72</f>
        <v>0</v>
      </c>
      <c r="L71" s="176">
        <f>M71-'[1]4'!$J$72</f>
        <v>-8</v>
      </c>
      <c r="M71" s="244">
        <f t="shared" si="18"/>
        <v>0</v>
      </c>
      <c r="N71" s="212">
        <v>0</v>
      </c>
      <c r="O71" s="245">
        <f t="shared" si="19"/>
        <v>0</v>
      </c>
      <c r="P71" s="213"/>
      <c r="Q71" s="211">
        <f>S71/'[1]4'!$G$72</f>
        <v>0.972391202620496</v>
      </c>
      <c r="R71" s="176">
        <f>S71-'[1]4'!$G$72</f>
        <v>-59</v>
      </c>
      <c r="S71" s="244">
        <f t="shared" si="20"/>
        <v>2078</v>
      </c>
      <c r="T71" s="212">
        <v>693</v>
      </c>
      <c r="U71" s="245">
        <f t="shared" si="21"/>
        <v>692.5</v>
      </c>
      <c r="V71" s="212">
        <v>1385</v>
      </c>
      <c r="W71" s="244">
        <f t="shared" si="22"/>
        <v>42</v>
      </c>
      <c r="X71" s="212">
        <v>14</v>
      </c>
      <c r="Y71" s="245">
        <f t="shared" si="23"/>
        <v>14</v>
      </c>
      <c r="Z71" s="212">
        <v>28</v>
      </c>
      <c r="AA71" s="244">
        <f t="shared" si="24"/>
        <v>1</v>
      </c>
      <c r="AB71" s="212">
        <v>0</v>
      </c>
      <c r="AC71" s="245">
        <f t="shared" si="25"/>
        <v>0.5</v>
      </c>
      <c r="AD71" s="212">
        <v>1</v>
      </c>
    </row>
    <row r="72" spans="1:31" ht="16.5">
      <c r="A72" s="238">
        <v>61</v>
      </c>
      <c r="B72" s="239" t="s">
        <v>413</v>
      </c>
      <c r="C72" s="240">
        <f t="shared" si="14"/>
        <v>6278</v>
      </c>
      <c r="D72" s="248">
        <v>2093</v>
      </c>
      <c r="E72" s="242">
        <f t="shared" si="15"/>
        <v>2092.5</v>
      </c>
      <c r="F72" s="213">
        <v>4185</v>
      </c>
      <c r="G72" s="240">
        <f t="shared" si="16"/>
        <v>453</v>
      </c>
      <c r="H72" s="248">
        <v>151</v>
      </c>
      <c r="I72" s="242">
        <f t="shared" si="17"/>
        <v>151</v>
      </c>
      <c r="J72" s="213">
        <v>302</v>
      </c>
      <c r="K72" s="211">
        <f>M72/'[1]4'!$J$73</f>
        <v>0.43548387096774194</v>
      </c>
      <c r="L72" s="176">
        <f>M72-'[1]4'!$J$73</f>
        <v>-105</v>
      </c>
      <c r="M72" s="244">
        <f t="shared" si="18"/>
        <v>81</v>
      </c>
      <c r="N72" s="212">
        <v>27</v>
      </c>
      <c r="O72" s="245">
        <f t="shared" si="19"/>
        <v>27</v>
      </c>
      <c r="P72" s="213">
        <v>54</v>
      </c>
      <c r="Q72" s="211">
        <f>S72/'[1]4'!$G$73</f>
        <v>1.0738193489225125</v>
      </c>
      <c r="R72" s="176">
        <f>S72-'[1]4'!$G$73</f>
        <v>161</v>
      </c>
      <c r="S72" s="244">
        <f t="shared" si="20"/>
        <v>2342</v>
      </c>
      <c r="T72" s="248">
        <v>781</v>
      </c>
      <c r="U72" s="245">
        <f t="shared" si="21"/>
        <v>780.5</v>
      </c>
      <c r="V72" s="212">
        <v>1561</v>
      </c>
      <c r="W72" s="244">
        <f t="shared" si="22"/>
        <v>0</v>
      </c>
      <c r="X72" s="212"/>
      <c r="Y72" s="245">
        <f t="shared" si="23"/>
        <v>0</v>
      </c>
      <c r="Z72" s="212"/>
      <c r="AA72" s="244">
        <f t="shared" si="24"/>
        <v>11</v>
      </c>
      <c r="AB72" s="213">
        <v>4</v>
      </c>
      <c r="AC72" s="245">
        <f t="shared" si="25"/>
        <v>3.5</v>
      </c>
      <c r="AD72" s="213">
        <v>7</v>
      </c>
      <c r="AE72" t="s">
        <v>581</v>
      </c>
    </row>
    <row r="73" spans="1:30" ht="16.5">
      <c r="A73" s="238">
        <v>62</v>
      </c>
      <c r="B73" s="239" t="s">
        <v>414</v>
      </c>
      <c r="C73" s="240">
        <f t="shared" si="14"/>
        <v>13006</v>
      </c>
      <c r="D73" s="212">
        <v>4335</v>
      </c>
      <c r="E73" s="242">
        <f t="shared" si="15"/>
        <v>4335.5</v>
      </c>
      <c r="F73" s="212">
        <v>8671</v>
      </c>
      <c r="G73" s="240">
        <f t="shared" si="16"/>
        <v>4345</v>
      </c>
      <c r="H73" s="212">
        <v>1448</v>
      </c>
      <c r="I73" s="242">
        <f t="shared" si="17"/>
        <v>1448.5</v>
      </c>
      <c r="J73" s="212">
        <v>2897</v>
      </c>
      <c r="K73" s="211">
        <f>M73/'[1]4'!$J$74</f>
        <v>0.4</v>
      </c>
      <c r="L73" s="176">
        <f>M73-'[1]4'!$J$74</f>
        <v>-12</v>
      </c>
      <c r="M73" s="244">
        <f t="shared" si="18"/>
        <v>8</v>
      </c>
      <c r="N73" s="212">
        <v>3</v>
      </c>
      <c r="O73" s="245">
        <f t="shared" si="19"/>
        <v>2.5</v>
      </c>
      <c r="P73" s="212">
        <v>5</v>
      </c>
      <c r="Q73" s="211">
        <f>S73/'[1]4'!$G$74</f>
        <v>1.1296684851028116</v>
      </c>
      <c r="R73" s="176">
        <f>S73-'[1]4'!$G$74</f>
        <v>309</v>
      </c>
      <c r="S73" s="244">
        <f t="shared" si="20"/>
        <v>2692</v>
      </c>
      <c r="T73" s="212">
        <v>897</v>
      </c>
      <c r="U73" s="245">
        <f t="shared" si="21"/>
        <v>897.5</v>
      </c>
      <c r="V73" s="212">
        <v>1795</v>
      </c>
      <c r="W73" s="244">
        <f t="shared" si="22"/>
        <v>93</v>
      </c>
      <c r="X73" s="212">
        <v>31</v>
      </c>
      <c r="Y73" s="245">
        <f t="shared" si="23"/>
        <v>31</v>
      </c>
      <c r="Z73" s="212">
        <v>62</v>
      </c>
      <c r="AA73" s="244">
        <f t="shared" si="24"/>
        <v>0</v>
      </c>
      <c r="AB73" s="212">
        <v>0</v>
      </c>
      <c r="AC73" s="245">
        <f t="shared" si="25"/>
        <v>0</v>
      </c>
      <c r="AD73" s="212">
        <v>0</v>
      </c>
    </row>
    <row r="74" spans="1:30" ht="16.5">
      <c r="A74" s="238">
        <v>63</v>
      </c>
      <c r="B74" s="239" t="s">
        <v>415</v>
      </c>
      <c r="C74" s="240">
        <f t="shared" si="14"/>
        <v>12547</v>
      </c>
      <c r="D74" s="212">
        <v>4000</v>
      </c>
      <c r="E74" s="242">
        <f t="shared" si="15"/>
        <v>4273.5</v>
      </c>
      <c r="F74" s="213">
        <v>8547</v>
      </c>
      <c r="G74" s="240">
        <f t="shared" si="16"/>
        <v>3209</v>
      </c>
      <c r="H74" s="212">
        <v>1000</v>
      </c>
      <c r="I74" s="242">
        <f t="shared" si="17"/>
        <v>1104.5</v>
      </c>
      <c r="J74" s="213">
        <v>2209</v>
      </c>
      <c r="K74" s="211">
        <f>M74/'[1]4'!$J$75</f>
        <v>0.18181818181818182</v>
      </c>
      <c r="L74" s="176">
        <f>M74-'[1]4'!$J$75</f>
        <v>-9</v>
      </c>
      <c r="M74" s="244">
        <f t="shared" si="18"/>
        <v>2</v>
      </c>
      <c r="N74" s="212">
        <v>1</v>
      </c>
      <c r="O74" s="245">
        <f t="shared" si="19"/>
        <v>0.5</v>
      </c>
      <c r="P74" s="212">
        <v>1</v>
      </c>
      <c r="Q74" s="211">
        <f>S74/'[1]4'!$G$75</f>
        <v>1.4798083504449007</v>
      </c>
      <c r="R74" s="176">
        <f>S74-'[1]4'!$G$75</f>
        <v>701</v>
      </c>
      <c r="S74" s="244">
        <f t="shared" si="20"/>
        <v>2162</v>
      </c>
      <c r="T74" s="212">
        <v>720</v>
      </c>
      <c r="U74" s="245">
        <f t="shared" si="21"/>
        <v>721</v>
      </c>
      <c r="V74" s="212">
        <v>1442</v>
      </c>
      <c r="W74" s="244">
        <f t="shared" si="22"/>
        <v>39</v>
      </c>
      <c r="X74" s="212">
        <v>10</v>
      </c>
      <c r="Y74" s="245">
        <f t="shared" si="23"/>
        <v>14.5</v>
      </c>
      <c r="Z74" s="212">
        <v>29</v>
      </c>
      <c r="AA74" s="244">
        <f t="shared" si="24"/>
        <v>0</v>
      </c>
      <c r="AB74" s="213">
        <v>0</v>
      </c>
      <c r="AC74" s="245">
        <f t="shared" si="25"/>
        <v>0</v>
      </c>
      <c r="AD74" s="213">
        <v>0</v>
      </c>
    </row>
    <row r="76" spans="1:10" s="89" customFormat="1" ht="18" customHeight="1">
      <c r="A76" s="50"/>
      <c r="B76" s="50" t="s">
        <v>342</v>
      </c>
      <c r="C76" s="56" t="s">
        <v>505</v>
      </c>
      <c r="D76" s="56"/>
      <c r="E76" s="50"/>
      <c r="F76" s="50"/>
      <c r="G76" s="50"/>
      <c r="H76" s="50"/>
      <c r="I76" s="88"/>
      <c r="J76" s="88"/>
    </row>
    <row r="77" spans="1:8" s="87" customFormat="1" ht="18" customHeight="1">
      <c r="A77" s="50"/>
      <c r="B77" s="50" t="s">
        <v>343</v>
      </c>
      <c r="C77" s="50" t="s">
        <v>344</v>
      </c>
      <c r="D77" s="50"/>
      <c r="E77" s="50"/>
      <c r="F77" s="50"/>
      <c r="G77" s="50"/>
      <c r="H77" s="50"/>
    </row>
    <row r="78" spans="1:8" s="87" customFormat="1" ht="18" customHeight="1">
      <c r="A78" s="50"/>
      <c r="B78" s="50" t="s">
        <v>345</v>
      </c>
      <c r="C78" s="50" t="s">
        <v>346</v>
      </c>
      <c r="D78" s="50"/>
      <c r="E78" s="50"/>
      <c r="F78" s="50"/>
      <c r="G78" s="50"/>
      <c r="H78" s="50"/>
    </row>
    <row r="79" spans="1:18" s="22" customFormat="1" ht="15.75">
      <c r="A79"/>
      <c r="B79" s="142"/>
      <c r="C79" s="120" t="s">
        <v>493</v>
      </c>
      <c r="D79"/>
      <c r="E79"/>
      <c r="F79"/>
      <c r="G79"/>
      <c r="H79"/>
      <c r="I79"/>
      <c r="J79"/>
      <c r="K79"/>
      <c r="L79"/>
      <c r="M79"/>
      <c r="N79"/>
      <c r="O79"/>
      <c r="P79"/>
      <c r="Q79"/>
      <c r="R79" s="13"/>
    </row>
    <row r="80" spans="1:18" s="22" customFormat="1" ht="15.75">
      <c r="A80"/>
      <c r="B80" s="90"/>
      <c r="C80" s="50" t="s">
        <v>430</v>
      </c>
      <c r="D80"/>
      <c r="E80"/>
      <c r="F80"/>
      <c r="G80"/>
      <c r="H80"/>
      <c r="I80"/>
      <c r="J80"/>
      <c r="K80"/>
      <c r="L80"/>
      <c r="M80"/>
      <c r="N80"/>
      <c r="O80"/>
      <c r="P80"/>
      <c r="Q80"/>
      <c r="R80" s="13"/>
    </row>
    <row r="81" spans="1:18" s="22" customFormat="1" ht="15.75">
      <c r="A81"/>
      <c r="B81" s="91"/>
      <c r="C81" s="50" t="s">
        <v>429</v>
      </c>
      <c r="D81"/>
      <c r="E81"/>
      <c r="F81"/>
      <c r="G81"/>
      <c r="H81"/>
      <c r="I81"/>
      <c r="J81"/>
      <c r="K81"/>
      <c r="L81"/>
      <c r="M81"/>
      <c r="N81"/>
      <c r="O81"/>
      <c r="P81"/>
      <c r="Q81"/>
      <c r="R81" s="13"/>
    </row>
    <row r="82" spans="1:18" s="38" customFormat="1" ht="15.75">
      <c r="A82"/>
      <c r="B82" s="143"/>
      <c r="C82" s="86" t="s">
        <v>495</v>
      </c>
      <c r="D82"/>
      <c r="E82"/>
      <c r="F82"/>
      <c r="G82"/>
      <c r="H82"/>
      <c r="I82"/>
      <c r="J82"/>
      <c r="K82"/>
      <c r="L82"/>
      <c r="M82"/>
      <c r="N82"/>
      <c r="O82"/>
      <c r="P82"/>
      <c r="Q82"/>
      <c r="R82" s="13"/>
    </row>
    <row r="83" spans="1:22" s="17" customFormat="1" ht="15.75">
      <c r="A83" s="24"/>
      <c r="B83" s="25"/>
      <c r="C83" s="392"/>
      <c r="D83" s="392"/>
      <c r="E83" s="392"/>
      <c r="F83" s="392"/>
      <c r="G83" s="392"/>
      <c r="H83" s="392"/>
      <c r="I83" s="392"/>
      <c r="J83" s="392"/>
      <c r="K83" s="392"/>
      <c r="L83" s="392"/>
      <c r="M83" s="392"/>
      <c r="N83" s="392"/>
      <c r="O83" s="392"/>
      <c r="P83" s="392"/>
      <c r="Q83" s="254"/>
      <c r="R83" s="254"/>
      <c r="S83" s="254"/>
      <c r="T83" s="254"/>
      <c r="U83" s="254"/>
      <c r="V83" s="254"/>
    </row>
    <row r="84" spans="1:22" s="17" customFormat="1" ht="15.75">
      <c r="A84" s="24"/>
      <c r="B84" s="25"/>
      <c r="C84" s="392"/>
      <c r="D84" s="392"/>
      <c r="E84" s="392"/>
      <c r="F84" s="392"/>
      <c r="G84" s="392"/>
      <c r="H84" s="392"/>
      <c r="I84" s="392"/>
      <c r="J84" s="392"/>
      <c r="K84" s="392"/>
      <c r="L84" s="392"/>
      <c r="M84" s="392"/>
      <c r="N84" s="392"/>
      <c r="O84" s="392"/>
      <c r="P84" s="392"/>
      <c r="Q84" s="254"/>
      <c r="R84" s="254"/>
      <c r="S84" s="254"/>
      <c r="T84" s="254"/>
      <c r="U84" s="254"/>
      <c r="V84" s="254"/>
    </row>
    <row r="85" spans="1:22" s="17" customFormat="1" ht="15.75">
      <c r="A85" s="24"/>
      <c r="B85" s="25"/>
      <c r="C85" s="392"/>
      <c r="D85" s="392"/>
      <c r="E85" s="392"/>
      <c r="F85" s="392"/>
      <c r="G85" s="392"/>
      <c r="H85" s="392"/>
      <c r="I85" s="392"/>
      <c r="J85" s="392"/>
      <c r="K85" s="392"/>
      <c r="L85" s="392"/>
      <c r="M85" s="392"/>
      <c r="N85" s="392"/>
      <c r="O85" s="392"/>
      <c r="P85" s="392"/>
      <c r="Q85" s="254"/>
      <c r="R85" s="254"/>
      <c r="S85" s="254"/>
      <c r="T85" s="254"/>
      <c r="U85" s="254"/>
      <c r="V85" s="254"/>
    </row>
    <row r="86" spans="1:22" s="17" customFormat="1" ht="15.75">
      <c r="A86" s="24"/>
      <c r="B86" s="25"/>
      <c r="C86" s="392"/>
      <c r="D86" s="392"/>
      <c r="E86" s="392"/>
      <c r="F86" s="392"/>
      <c r="G86" s="392"/>
      <c r="H86" s="392"/>
      <c r="I86" s="392"/>
      <c r="J86" s="392"/>
      <c r="K86" s="392"/>
      <c r="L86" s="392"/>
      <c r="M86" s="392"/>
      <c r="N86" s="392"/>
      <c r="O86" s="392"/>
      <c r="P86" s="392"/>
      <c r="Q86" s="254"/>
      <c r="R86" s="254"/>
      <c r="S86" s="254"/>
      <c r="T86" s="254"/>
      <c r="U86" s="254"/>
      <c r="V86" s="254"/>
    </row>
  </sheetData>
  <sheetProtection/>
  <mergeCells count="21">
    <mergeCell ref="A2:AD2"/>
    <mergeCell ref="A3:AD3"/>
    <mergeCell ref="A4:AD4"/>
    <mergeCell ref="C6:P6"/>
    <mergeCell ref="S6:AD6"/>
    <mergeCell ref="A11:B11"/>
    <mergeCell ref="C8:F8"/>
    <mergeCell ref="G8:J8"/>
    <mergeCell ref="M8:M9"/>
    <mergeCell ref="S7:Z7"/>
    <mergeCell ref="AA7:AD7"/>
    <mergeCell ref="AA8:AA9"/>
    <mergeCell ref="AB8:AD8"/>
    <mergeCell ref="A10:B10"/>
    <mergeCell ref="W8:Z8"/>
    <mergeCell ref="N8:P8"/>
    <mergeCell ref="S8:V8"/>
    <mergeCell ref="Q6:R8"/>
    <mergeCell ref="K7:L8"/>
    <mergeCell ref="C7:J7"/>
    <mergeCell ref="M7:P7"/>
  </mergeCells>
  <printOptions/>
  <pageMargins left="0.5" right="0.2" top="1" bottom="0.5" header="0" footer="0"/>
  <pageSetup horizontalDpi="600" verticalDpi="600" orientation="landscape" paperSize="9"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http://viet4room.com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Manh Cuong</dc:creator>
  <cp:keywords/>
  <dc:description/>
  <cp:lastModifiedBy>Windows</cp:lastModifiedBy>
  <cp:lastPrinted>2014-07-25T03:36:52Z</cp:lastPrinted>
  <dcterms:created xsi:type="dcterms:W3CDTF">2014-05-23T07:40:37Z</dcterms:created>
  <dcterms:modified xsi:type="dcterms:W3CDTF">2014-07-31T01:56:05Z</dcterms:modified>
  <cp:category/>
  <cp:version/>
  <cp:contentType/>
  <cp:contentStatus/>
</cp:coreProperties>
</file>